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Gremien\OAK-BV\Bereich Risk Management\Bericht finanzielle Lage 2014\Auswertungen\"/>
    </mc:Choice>
  </mc:AlternateContent>
  <bookViews>
    <workbookView xWindow="120" yWindow="105" windowWidth="28680" windowHeight="14370"/>
  </bookViews>
  <sheets>
    <sheet name="0" sheetId="96" r:id="rId1"/>
    <sheet name="1" sheetId="41" r:id="rId2"/>
    <sheet name="2" sheetId="38" r:id="rId3"/>
    <sheet name="3" sheetId="45" r:id="rId4"/>
    <sheet name="4" sheetId="47" r:id="rId5"/>
    <sheet name="5" sheetId="49" r:id="rId6"/>
    <sheet name="15" sheetId="68" r:id="rId7"/>
    <sheet name="16" sheetId="13" r:id="rId8"/>
    <sheet name="17" sheetId="24" r:id="rId9"/>
    <sheet name="19" sheetId="76" r:id="rId10"/>
    <sheet name="20" sheetId="10" r:id="rId11"/>
    <sheet name="21" sheetId="64" r:id="rId12"/>
    <sheet name="22" sheetId="15" r:id="rId13"/>
    <sheet name="23" sheetId="17" r:id="rId14"/>
    <sheet name="24" sheetId="22" r:id="rId15"/>
    <sheet name="25" sheetId="28" r:id="rId16"/>
    <sheet name="26" sheetId="73" r:id="rId17"/>
    <sheet name="27" sheetId="32" r:id="rId18"/>
    <sheet name="28" sheetId="36" r:id="rId19"/>
    <sheet name="29" sheetId="81" r:id="rId20"/>
    <sheet name="31" sheetId="83" r:id="rId21"/>
    <sheet name="32" sheetId="69" r:id="rId22"/>
    <sheet name="33" sheetId="85" r:id="rId23"/>
    <sheet name="36" sheetId="5" r:id="rId24"/>
    <sheet name="37" sheetId="6" r:id="rId25"/>
    <sheet name="38" sheetId="7" r:id="rId26"/>
    <sheet name="39" sheetId="8" r:id="rId27"/>
    <sheet name="40" sheetId="9" r:id="rId28"/>
    <sheet name="Translation" sheetId="97" state="hidden" r:id="rId29"/>
  </sheets>
  <definedNames>
    <definedName name="_xlnm.Print_Titles" localSheetId="0">'0'!$A:$A,'0'!$1:$5</definedName>
    <definedName name="_xlnm.Print_Titles" localSheetId="1">'1'!$A:$A,'1'!$1:$5</definedName>
    <definedName name="_xlnm.Print_Titles" localSheetId="6">'15'!$A:$A,'15'!$1:$5</definedName>
    <definedName name="_xlnm.Print_Titles" localSheetId="7">'16'!$A:$A,'16'!$1:$5</definedName>
    <definedName name="_xlnm.Print_Titles" localSheetId="8">'17'!$A:$A,'17'!$1:$5</definedName>
    <definedName name="_xlnm.Print_Titles" localSheetId="9">'19'!$A:$A,'19'!$1:$5</definedName>
    <definedName name="_xlnm.Print_Titles" localSheetId="2">'2'!$A:$A,'2'!$1:$5</definedName>
    <definedName name="_xlnm.Print_Titles" localSheetId="10">'20'!$A:$A,'20'!$1:$5</definedName>
    <definedName name="_xlnm.Print_Titles" localSheetId="11">'21'!$A:$A,'21'!$1:$5</definedName>
    <definedName name="_xlnm.Print_Titles" localSheetId="12">'22'!$A:$A,'22'!$1:$5</definedName>
    <definedName name="_xlnm.Print_Titles" localSheetId="13">'23'!$A:$A,'23'!$1:$5</definedName>
    <definedName name="_xlnm.Print_Titles" localSheetId="14">'24'!$A:$A,'24'!$1:$5</definedName>
    <definedName name="_xlnm.Print_Titles" localSheetId="15">'25'!$A:$A,'25'!$1:$5</definedName>
    <definedName name="_xlnm.Print_Titles" localSheetId="16">'26'!$A:$A,'26'!$1:$5</definedName>
    <definedName name="_xlnm.Print_Titles" localSheetId="17">'27'!$A:$A,'27'!$1:$5</definedName>
    <definedName name="_xlnm.Print_Titles" localSheetId="18">'28'!$A:$A,'28'!$1:$5</definedName>
    <definedName name="_xlnm.Print_Titles" localSheetId="19">'29'!$A:$A,'29'!$1:$5</definedName>
    <definedName name="_xlnm.Print_Titles" localSheetId="3">'3'!$A:$A,'3'!$1:$5</definedName>
    <definedName name="_xlnm.Print_Titles" localSheetId="20">'31'!$A:$A,'31'!$1:$5</definedName>
    <definedName name="_xlnm.Print_Titles" localSheetId="21">'32'!$A:$A,'32'!$1:$5</definedName>
    <definedName name="_xlnm.Print_Titles" localSheetId="22">'33'!$A:$A,'33'!$1:$5</definedName>
    <definedName name="_xlnm.Print_Titles" localSheetId="23">'36'!$A:$A,'36'!$1:$5</definedName>
    <definedName name="_xlnm.Print_Titles" localSheetId="24">'37'!$A:$A,'37'!$1:$5</definedName>
    <definedName name="_xlnm.Print_Titles" localSheetId="25">'38'!$A:$A,'38'!$1:$5</definedName>
    <definedName name="_xlnm.Print_Titles" localSheetId="26">'39'!$A:$A,'39'!$1:$5</definedName>
    <definedName name="_xlnm.Print_Titles" localSheetId="4">'4'!$A:$A,'4'!$1:$5</definedName>
    <definedName name="_xlnm.Print_Titles" localSheetId="27">'40'!$A:$A,'40'!$1:$5</definedName>
    <definedName name="_xlnm.Print_Titles" localSheetId="5">'5'!$A:$A,'5'!$1:$5</definedName>
    <definedName name="_xlnm.Print_Titles" localSheetId="28">Translation!$A:$A,Translation!$1:$8</definedName>
    <definedName name="language">Translation!$B$5</definedName>
    <definedName name="Sprachauswahl">Translation!$A$1:$A$2</definedName>
  </definedNames>
  <calcPr calcId="152511"/>
</workbook>
</file>

<file path=xl/calcChain.xml><?xml version="1.0" encoding="utf-8"?>
<calcChain xmlns="http://schemas.openxmlformats.org/spreadsheetml/2006/main">
  <c r="A36" i="97" l="1"/>
  <c r="A120" i="47" s="1"/>
  <c r="A120" i="41" l="1"/>
  <c r="A120" i="73"/>
  <c r="A120" i="8"/>
  <c r="A120" i="69"/>
  <c r="A120" i="17"/>
  <c r="A120" i="24"/>
  <c r="A120" i="45"/>
  <c r="A120" i="85"/>
  <c r="A120" i="68"/>
  <c r="A120" i="7"/>
  <c r="A120" i="32"/>
  <c r="A120" i="15"/>
  <c r="A120" i="13"/>
  <c r="A120" i="38"/>
  <c r="A120" i="83"/>
  <c r="A120" i="76"/>
  <c r="A120" i="6"/>
  <c r="A120" i="28"/>
  <c r="A120" i="64"/>
  <c r="A120" i="49"/>
  <c r="A120" i="81"/>
  <c r="A120" i="9"/>
  <c r="A120" i="5"/>
  <c r="A120" i="22"/>
  <c r="A120" i="10"/>
  <c r="A155" i="97"/>
  <c r="A19" i="76" s="1"/>
  <c r="A14" i="97" l="1"/>
  <c r="A13" i="97"/>
  <c r="A4" i="96" l="1"/>
  <c r="A3" i="96"/>
  <c r="A114" i="68"/>
  <c r="A113" i="68"/>
  <c r="A112" i="68"/>
  <c r="A111" i="68"/>
  <c r="A110" i="68"/>
  <c r="A109" i="68"/>
  <c r="A114" i="13"/>
  <c r="A113" i="13"/>
  <c r="A112" i="13"/>
  <c r="A111" i="13"/>
  <c r="A110" i="13"/>
  <c r="A109" i="13"/>
  <c r="A108" i="13"/>
  <c r="A107" i="13"/>
  <c r="A106" i="13"/>
  <c r="A105" i="13"/>
  <c r="A104" i="13"/>
  <c r="A103" i="13"/>
  <c r="A102" i="13"/>
  <c r="A101" i="13"/>
  <c r="A100" i="13"/>
  <c r="A99" i="13"/>
  <c r="A114" i="24"/>
  <c r="A113" i="24"/>
  <c r="A112" i="24"/>
  <c r="A111" i="24"/>
  <c r="A110" i="24"/>
  <c r="A109" i="24"/>
  <c r="A108" i="24"/>
  <c r="A107" i="24"/>
  <c r="A106" i="24"/>
  <c r="A105" i="24"/>
  <c r="A104" i="24"/>
  <c r="A103" i="24"/>
  <c r="A102" i="24"/>
  <c r="A101" i="24"/>
  <c r="A100" i="24"/>
  <c r="A99" i="24"/>
  <c r="A114" i="10"/>
  <c r="A113" i="10"/>
  <c r="A112" i="10"/>
  <c r="A111" i="10"/>
  <c r="A110" i="10"/>
  <c r="A109" i="10"/>
  <c r="A108" i="10"/>
  <c r="A107" i="10"/>
  <c r="A106" i="10"/>
  <c r="A105" i="10"/>
  <c r="A114" i="64"/>
  <c r="A113" i="64"/>
  <c r="A112" i="64"/>
  <c r="A111" i="64"/>
  <c r="A110" i="64"/>
  <c r="A109" i="64"/>
  <c r="A108" i="64"/>
  <c r="A107" i="64"/>
  <c r="A106" i="64"/>
  <c r="A105" i="64"/>
  <c r="A104" i="64"/>
  <c r="A103" i="64"/>
  <c r="A102" i="64"/>
  <c r="A101" i="64"/>
  <c r="A100" i="64"/>
  <c r="A99" i="64"/>
  <c r="A98" i="64"/>
  <c r="A97" i="64"/>
  <c r="A96" i="64"/>
  <c r="A95" i="64"/>
  <c r="A114" i="15"/>
  <c r="A113" i="15"/>
  <c r="A112" i="15"/>
  <c r="A111" i="15"/>
  <c r="A110" i="15"/>
  <c r="A109" i="15"/>
  <c r="A108" i="15"/>
  <c r="A107" i="15"/>
  <c r="A106" i="15"/>
  <c r="A105" i="15"/>
  <c r="A104" i="15"/>
  <c r="A103" i="15"/>
  <c r="A102" i="15"/>
  <c r="A101" i="15"/>
  <c r="A100" i="15"/>
  <c r="A99" i="15"/>
  <c r="A98" i="15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9" i="17"/>
  <c r="A98" i="17"/>
  <c r="A114" i="22"/>
  <c r="A113" i="22"/>
  <c r="A112" i="22"/>
  <c r="A111" i="22"/>
  <c r="A110" i="22"/>
  <c r="A109" i="22"/>
  <c r="A108" i="22"/>
  <c r="A107" i="22"/>
  <c r="A106" i="22"/>
  <c r="A105" i="22"/>
  <c r="A104" i="22"/>
  <c r="A103" i="22"/>
  <c r="A102" i="22"/>
  <c r="A101" i="22"/>
  <c r="A100" i="22"/>
  <c r="A99" i="22"/>
  <c r="A98" i="22"/>
  <c r="A97" i="22"/>
  <c r="A114" i="28"/>
  <c r="A113" i="28"/>
  <c r="A112" i="28"/>
  <c r="A111" i="28"/>
  <c r="A110" i="28"/>
  <c r="A109" i="28"/>
  <c r="A108" i="28"/>
  <c r="A107" i="28"/>
  <c r="A106" i="28"/>
  <c r="A105" i="28"/>
  <c r="A104" i="28"/>
  <c r="A103" i="28"/>
  <c r="A102" i="28"/>
  <c r="A101" i="28"/>
  <c r="A100" i="28"/>
  <c r="A99" i="28"/>
  <c r="A98" i="28"/>
  <c r="A114" i="32"/>
  <c r="A113" i="32"/>
  <c r="A112" i="32"/>
  <c r="A111" i="32"/>
  <c r="A110" i="32"/>
  <c r="A109" i="32"/>
  <c r="A108" i="32"/>
  <c r="A107" i="32"/>
  <c r="A106" i="32"/>
  <c r="A105" i="32"/>
  <c r="A104" i="32"/>
  <c r="A103" i="32"/>
  <c r="A102" i="32"/>
  <c r="A101" i="32"/>
  <c r="A100" i="32"/>
  <c r="A99" i="32"/>
  <c r="A98" i="32"/>
  <c r="A114" i="69"/>
  <c r="A113" i="69"/>
  <c r="A112" i="69"/>
  <c r="A111" i="69"/>
  <c r="A110" i="69"/>
  <c r="A109" i="69"/>
  <c r="A108" i="69"/>
  <c r="A107" i="69"/>
  <c r="A106" i="69"/>
  <c r="A105" i="69"/>
  <c r="A104" i="69"/>
  <c r="A103" i="69"/>
  <c r="A102" i="69"/>
  <c r="A101" i="69"/>
  <c r="A100" i="69"/>
  <c r="A99" i="69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114" i="76"/>
  <c r="A113" i="76"/>
  <c r="A112" i="76"/>
  <c r="A111" i="76"/>
  <c r="A110" i="76"/>
  <c r="A109" i="76"/>
  <c r="A108" i="76"/>
  <c r="A107" i="76"/>
  <c r="A106" i="76"/>
  <c r="A105" i="76"/>
  <c r="A104" i="76"/>
  <c r="A103" i="76"/>
  <c r="A74" i="68"/>
  <c r="A73" i="68"/>
  <c r="A72" i="68"/>
  <c r="A71" i="68"/>
  <c r="A70" i="68"/>
  <c r="A69" i="68"/>
  <c r="A74" i="13"/>
  <c r="A73" i="13"/>
  <c r="A72" i="13"/>
  <c r="A71" i="13"/>
  <c r="A70" i="13"/>
  <c r="A69" i="13"/>
  <c r="A68" i="13"/>
  <c r="A67" i="13"/>
  <c r="A66" i="13"/>
  <c r="A65" i="13"/>
  <c r="A64" i="13"/>
  <c r="A63" i="13"/>
  <c r="A62" i="13"/>
  <c r="A61" i="13"/>
  <c r="A60" i="13"/>
  <c r="A59" i="13"/>
  <c r="A74" i="24"/>
  <c r="A73" i="24"/>
  <c r="A72" i="24"/>
  <c r="A71" i="24"/>
  <c r="A70" i="24"/>
  <c r="A69" i="24"/>
  <c r="A68" i="24"/>
  <c r="A67" i="24"/>
  <c r="A66" i="24"/>
  <c r="A65" i="24"/>
  <c r="A64" i="24"/>
  <c r="A63" i="24"/>
  <c r="A62" i="24"/>
  <c r="A61" i="24"/>
  <c r="A60" i="24"/>
  <c r="A59" i="24"/>
  <c r="A74" i="10"/>
  <c r="A73" i="10"/>
  <c r="A72" i="10"/>
  <c r="A71" i="10"/>
  <c r="A70" i="10"/>
  <c r="A69" i="10"/>
  <c r="A68" i="10"/>
  <c r="A67" i="10"/>
  <c r="A66" i="10"/>
  <c r="A65" i="10"/>
  <c r="A74" i="64"/>
  <c r="A73" i="64"/>
  <c r="A72" i="64"/>
  <c r="A71" i="64"/>
  <c r="A70" i="64"/>
  <c r="A69" i="64"/>
  <c r="A68" i="64"/>
  <c r="A67" i="64"/>
  <c r="A66" i="64"/>
  <c r="A65" i="64"/>
  <c r="A64" i="64"/>
  <c r="A63" i="64"/>
  <c r="A62" i="64"/>
  <c r="A61" i="64"/>
  <c r="A60" i="64"/>
  <c r="A59" i="64"/>
  <c r="A58" i="64"/>
  <c r="A57" i="64"/>
  <c r="A56" i="64"/>
  <c r="A55" i="64"/>
  <c r="A74" i="15"/>
  <c r="A73" i="15"/>
  <c r="A72" i="15"/>
  <c r="A71" i="15"/>
  <c r="A70" i="15"/>
  <c r="A69" i="15"/>
  <c r="A68" i="15"/>
  <c r="A67" i="15"/>
  <c r="A66" i="15"/>
  <c r="A65" i="15"/>
  <c r="A64" i="15"/>
  <c r="A63" i="15"/>
  <c r="A62" i="15"/>
  <c r="A61" i="15"/>
  <c r="A60" i="15"/>
  <c r="A59" i="15"/>
  <c r="A58" i="15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74" i="22"/>
  <c r="A73" i="22"/>
  <c r="A72" i="22"/>
  <c r="A71" i="22"/>
  <c r="A70" i="22"/>
  <c r="A69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74" i="28"/>
  <c r="A73" i="28"/>
  <c r="A72" i="28"/>
  <c r="A71" i="28"/>
  <c r="A70" i="28"/>
  <c r="A69" i="28"/>
  <c r="A68" i="28"/>
  <c r="A67" i="28"/>
  <c r="A66" i="28"/>
  <c r="A65" i="28"/>
  <c r="A64" i="28"/>
  <c r="A63" i="28"/>
  <c r="A62" i="28"/>
  <c r="A61" i="28"/>
  <c r="A60" i="28"/>
  <c r="A59" i="28"/>
  <c r="A58" i="28"/>
  <c r="A74" i="32"/>
  <c r="A73" i="32"/>
  <c r="A72" i="32"/>
  <c r="A71" i="32"/>
  <c r="A70" i="32"/>
  <c r="A69" i="32"/>
  <c r="A68" i="32"/>
  <c r="A67" i="32"/>
  <c r="A66" i="32"/>
  <c r="A65" i="32"/>
  <c r="A64" i="32"/>
  <c r="A63" i="32"/>
  <c r="A62" i="32"/>
  <c r="A61" i="32"/>
  <c r="A60" i="32"/>
  <c r="A59" i="32"/>
  <c r="A58" i="32"/>
  <c r="A74" i="69"/>
  <c r="A73" i="69"/>
  <c r="A72" i="69"/>
  <c r="A71" i="69"/>
  <c r="A70" i="69"/>
  <c r="A69" i="69"/>
  <c r="A68" i="69"/>
  <c r="A67" i="69"/>
  <c r="A66" i="69"/>
  <c r="A65" i="69"/>
  <c r="A64" i="69"/>
  <c r="A63" i="69"/>
  <c r="A62" i="69"/>
  <c r="A61" i="69"/>
  <c r="A60" i="69"/>
  <c r="A59" i="69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74" i="76"/>
  <c r="A73" i="76"/>
  <c r="A72" i="76"/>
  <c r="A71" i="76"/>
  <c r="A70" i="76"/>
  <c r="A69" i="76"/>
  <c r="A68" i="76"/>
  <c r="A67" i="76"/>
  <c r="A66" i="76"/>
  <c r="A65" i="76"/>
  <c r="A64" i="76"/>
  <c r="A63" i="76"/>
  <c r="A114" i="36"/>
  <c r="A113" i="36"/>
  <c r="A112" i="36"/>
  <c r="A111" i="36"/>
  <c r="A110" i="36"/>
  <c r="A109" i="36"/>
  <c r="A108" i="36"/>
  <c r="A107" i="36"/>
  <c r="A106" i="36"/>
  <c r="A105" i="36"/>
  <c r="A104" i="36"/>
  <c r="A103" i="36"/>
  <c r="A102" i="36"/>
  <c r="A101" i="36"/>
  <c r="A100" i="36"/>
  <c r="A99" i="36"/>
  <c r="A98" i="36"/>
  <c r="A97" i="36"/>
  <c r="A74" i="36"/>
  <c r="A73" i="36"/>
  <c r="A72" i="36"/>
  <c r="A71" i="36"/>
  <c r="A70" i="36"/>
  <c r="A69" i="36"/>
  <c r="A68" i="36"/>
  <c r="A67" i="36"/>
  <c r="A66" i="36"/>
  <c r="A65" i="36"/>
  <c r="A64" i="36"/>
  <c r="A63" i="36"/>
  <c r="A62" i="36"/>
  <c r="A61" i="36"/>
  <c r="A60" i="36"/>
  <c r="A59" i="36"/>
  <c r="A58" i="36"/>
  <c r="A57" i="36"/>
  <c r="A387" i="97" l="1"/>
  <c r="A13" i="6" s="1"/>
  <c r="A362" i="97"/>
  <c r="A361" i="97"/>
  <c r="A360" i="97"/>
  <c r="A359" i="97"/>
  <c r="A358" i="97"/>
  <c r="A357" i="97"/>
  <c r="A356" i="97"/>
  <c r="A355" i="97"/>
  <c r="A354" i="97"/>
  <c r="A353" i="97"/>
  <c r="A352" i="97"/>
  <c r="A351" i="97"/>
  <c r="A350" i="97"/>
  <c r="A349" i="97"/>
  <c r="A348" i="97"/>
  <c r="A347" i="97"/>
  <c r="A346" i="97"/>
  <c r="A345" i="97"/>
  <c r="A344" i="97"/>
  <c r="A343" i="97"/>
  <c r="A342" i="97"/>
  <c r="A341" i="97"/>
  <c r="A340" i="97"/>
  <c r="A12" i="85" s="1"/>
  <c r="A324" i="97"/>
  <c r="A323" i="97"/>
  <c r="A322" i="97"/>
  <c r="A321" i="97"/>
  <c r="A320" i="97"/>
  <c r="A319" i="97"/>
  <c r="A318" i="97"/>
  <c r="A317" i="97"/>
  <c r="A316" i="97"/>
  <c r="A315" i="97"/>
  <c r="A314" i="97"/>
  <c r="A313" i="97"/>
  <c r="A312" i="97"/>
  <c r="A311" i="97"/>
  <c r="A310" i="97"/>
  <c r="A309" i="97"/>
  <c r="A308" i="97"/>
  <c r="A307" i="97"/>
  <c r="A306" i="97"/>
  <c r="A305" i="97"/>
  <c r="A304" i="97"/>
  <c r="A303" i="97"/>
  <c r="A302" i="97"/>
  <c r="A12" i="83" s="1"/>
  <c r="A276" i="97"/>
  <c r="A275" i="97"/>
  <c r="A274" i="97"/>
  <c r="A273" i="97"/>
  <c r="A272" i="97"/>
  <c r="A271" i="97"/>
  <c r="A270" i="97"/>
  <c r="A269" i="97"/>
  <c r="A268" i="97"/>
  <c r="A267" i="97"/>
  <c r="A266" i="97"/>
  <c r="A265" i="97"/>
  <c r="A264" i="97"/>
  <c r="A263" i="97"/>
  <c r="A262" i="97"/>
  <c r="A261" i="97"/>
  <c r="A260" i="97"/>
  <c r="A259" i="97"/>
  <c r="A258" i="97"/>
  <c r="A257" i="97"/>
  <c r="A256" i="97"/>
  <c r="A255" i="97"/>
  <c r="A254" i="97"/>
  <c r="A12" i="81" s="1"/>
  <c r="A231" i="97"/>
  <c r="A230" i="97"/>
  <c r="A229" i="97"/>
  <c r="A228" i="97"/>
  <c r="A227" i="97"/>
  <c r="A226" i="97"/>
  <c r="A225" i="97"/>
  <c r="A224" i="97"/>
  <c r="A223" i="97"/>
  <c r="A222" i="97"/>
  <c r="A221" i="97"/>
  <c r="A220" i="97"/>
  <c r="A219" i="97"/>
  <c r="A218" i="97"/>
  <c r="A217" i="97"/>
  <c r="A216" i="97"/>
  <c r="A215" i="97"/>
  <c r="A214" i="97"/>
  <c r="A213" i="97"/>
  <c r="A212" i="97"/>
  <c r="A211" i="97"/>
  <c r="A210" i="97"/>
  <c r="A209" i="97"/>
  <c r="A232" i="97"/>
  <c r="A12" i="73" s="1"/>
  <c r="A233" i="97"/>
  <c r="A13" i="73" s="1"/>
  <c r="A234" i="97"/>
  <c r="A14" i="73" s="1"/>
  <c r="A235" i="97"/>
  <c r="A15" i="73" s="1"/>
  <c r="A236" i="97"/>
  <c r="A16" i="73" s="1"/>
  <c r="A237" i="97"/>
  <c r="A17" i="73" s="1"/>
  <c r="A238" i="97"/>
  <c r="A18" i="73" s="1"/>
  <c r="A239" i="97"/>
  <c r="A240" i="97"/>
  <c r="A241" i="97"/>
  <c r="A242" i="97"/>
  <c r="A243" i="97"/>
  <c r="A244" i="97"/>
  <c r="A245" i="97"/>
  <c r="A246" i="97"/>
  <c r="A247" i="97"/>
  <c r="A248" i="97"/>
  <c r="A249" i="97"/>
  <c r="A250" i="97"/>
  <c r="A251" i="97"/>
  <c r="A252" i="97"/>
  <c r="A253" i="97"/>
  <c r="A277" i="97"/>
  <c r="A13" i="81" s="1"/>
  <c r="A174" i="97"/>
  <c r="A24" i="10" s="1"/>
  <c r="A173" i="97"/>
  <c r="A23" i="10" s="1"/>
  <c r="A172" i="97"/>
  <c r="A22" i="10" s="1"/>
  <c r="A171" i="97"/>
  <c r="A21" i="10" s="1"/>
  <c r="A170" i="97"/>
  <c r="A20" i="10" s="1"/>
  <c r="A169" i="97"/>
  <c r="A19" i="10" s="1"/>
  <c r="A168" i="97"/>
  <c r="A18" i="10" s="1"/>
  <c r="A167" i="97"/>
  <c r="A17" i="10" s="1"/>
  <c r="A166" i="97"/>
  <c r="A16" i="10" s="1"/>
  <c r="A165" i="97"/>
  <c r="A15" i="10" s="1"/>
  <c r="A164" i="97"/>
  <c r="A14" i="10" s="1"/>
  <c r="A163" i="97"/>
  <c r="A13" i="10" s="1"/>
  <c r="A162" i="97"/>
  <c r="A12" i="10" s="1"/>
  <c r="A120" i="97"/>
  <c r="A119" i="97"/>
  <c r="A118" i="97"/>
  <c r="A117" i="97"/>
  <c r="A116" i="97"/>
  <c r="A115" i="97"/>
  <c r="A114" i="97"/>
  <c r="A113" i="97"/>
  <c r="A112" i="97"/>
  <c r="A111" i="97"/>
  <c r="A110" i="97"/>
  <c r="A109" i="97"/>
  <c r="A108" i="97"/>
  <c r="A107" i="97"/>
  <c r="A106" i="97"/>
  <c r="A105" i="97"/>
  <c r="A104" i="97"/>
  <c r="A12" i="68" s="1"/>
  <c r="A154" i="97"/>
  <c r="A153" i="97"/>
  <c r="A152" i="97"/>
  <c r="A151" i="97"/>
  <c r="A150" i="97"/>
  <c r="A18" i="76" s="1"/>
  <c r="A149" i="97"/>
  <c r="A17" i="76" s="1"/>
  <c r="A148" i="97"/>
  <c r="A16" i="76" s="1"/>
  <c r="A147" i="97"/>
  <c r="A15" i="76" s="1"/>
  <c r="A146" i="97"/>
  <c r="A14" i="76" s="1"/>
  <c r="A145" i="97"/>
  <c r="A13" i="76" s="1"/>
  <c r="A144" i="97"/>
  <c r="A12" i="76" s="1"/>
  <c r="A300" i="97"/>
  <c r="A12" i="97"/>
  <c r="A1" i="96" l="1"/>
  <c r="A57" i="73"/>
  <c r="A97" i="73"/>
  <c r="A61" i="73"/>
  <c r="A101" i="73"/>
  <c r="A65" i="73"/>
  <c r="A105" i="73"/>
  <c r="A73" i="73"/>
  <c r="A113" i="73"/>
  <c r="A102" i="83"/>
  <c r="A62" i="83"/>
  <c r="A110" i="83"/>
  <c r="A70" i="83"/>
  <c r="A114" i="83"/>
  <c r="A74" i="83"/>
  <c r="A100" i="85"/>
  <c r="A60" i="85"/>
  <c r="A104" i="85"/>
  <c r="A64" i="85"/>
  <c r="A72" i="85"/>
  <c r="A112" i="85"/>
  <c r="A99" i="76"/>
  <c r="A59" i="76"/>
  <c r="A62" i="68"/>
  <c r="A102" i="68"/>
  <c r="A66" i="68"/>
  <c r="A106" i="68"/>
  <c r="A52" i="10"/>
  <c r="A92" i="10"/>
  <c r="A56" i="10"/>
  <c r="A96" i="10"/>
  <c r="A64" i="10"/>
  <c r="A104" i="10"/>
  <c r="A54" i="73"/>
  <c r="A94" i="73"/>
  <c r="A58" i="73"/>
  <c r="A98" i="73"/>
  <c r="A62" i="73"/>
  <c r="A102" i="73"/>
  <c r="A66" i="73"/>
  <c r="A106" i="73"/>
  <c r="A70" i="73"/>
  <c r="A110" i="73"/>
  <c r="A74" i="73"/>
  <c r="A114" i="73"/>
  <c r="A92" i="81"/>
  <c r="A52" i="81"/>
  <c r="A60" i="81"/>
  <c r="A100" i="81"/>
  <c r="A64" i="81"/>
  <c r="A104" i="81"/>
  <c r="A68" i="81"/>
  <c r="A108" i="81"/>
  <c r="A72" i="81"/>
  <c r="A112" i="81"/>
  <c r="A114" i="81"/>
  <c r="A74" i="81"/>
  <c r="A96" i="76"/>
  <c r="A56" i="76"/>
  <c r="A100" i="76"/>
  <c r="A60" i="76"/>
  <c r="A59" i="68"/>
  <c r="A99" i="68"/>
  <c r="A63" i="68"/>
  <c r="A103" i="68"/>
  <c r="A67" i="68"/>
  <c r="A107" i="68"/>
  <c r="A93" i="10"/>
  <c r="A53" i="10"/>
  <c r="A97" i="10"/>
  <c r="A57" i="10"/>
  <c r="A101" i="10"/>
  <c r="A61" i="10"/>
  <c r="A93" i="81"/>
  <c r="A53" i="81"/>
  <c r="A101" i="81"/>
  <c r="A61" i="81"/>
  <c r="A105" i="81"/>
  <c r="A65" i="81"/>
  <c r="A109" i="81"/>
  <c r="A69" i="81"/>
  <c r="A113" i="81"/>
  <c r="A73" i="81"/>
  <c r="A53" i="73"/>
  <c r="A93" i="73"/>
  <c r="A69" i="73"/>
  <c r="A109" i="73"/>
  <c r="A106" i="83"/>
  <c r="A66" i="83"/>
  <c r="A92" i="85"/>
  <c r="A52" i="85"/>
  <c r="A108" i="85"/>
  <c r="A68" i="85"/>
  <c r="A95" i="76"/>
  <c r="A55" i="76"/>
  <c r="A60" i="10"/>
  <c r="A100" i="10"/>
  <c r="A61" i="83"/>
  <c r="A101" i="83"/>
  <c r="A105" i="83"/>
  <c r="A65" i="83"/>
  <c r="A69" i="83"/>
  <c r="A109" i="83"/>
  <c r="A113" i="83"/>
  <c r="A73" i="83"/>
  <c r="A59" i="85"/>
  <c r="A99" i="85"/>
  <c r="A103" i="85"/>
  <c r="A63" i="85"/>
  <c r="A67" i="85"/>
  <c r="A107" i="85"/>
  <c r="A111" i="85"/>
  <c r="A71" i="85"/>
  <c r="A92" i="76"/>
  <c r="A52" i="76"/>
  <c r="A61" i="76"/>
  <c r="A101" i="76"/>
  <c r="A101" i="68"/>
  <c r="A61" i="68"/>
  <c r="A55" i="10"/>
  <c r="A95" i="10"/>
  <c r="A59" i="10"/>
  <c r="A99" i="10"/>
  <c r="A95" i="73"/>
  <c r="A55" i="73"/>
  <c r="A103" i="73"/>
  <c r="A63" i="73"/>
  <c r="A107" i="73"/>
  <c r="A67" i="73"/>
  <c r="A102" i="81"/>
  <c r="A62" i="81"/>
  <c r="A106" i="81"/>
  <c r="A66" i="81"/>
  <c r="A99" i="83"/>
  <c r="A59" i="83"/>
  <c r="A103" i="83"/>
  <c r="A63" i="83"/>
  <c r="A111" i="83"/>
  <c r="A71" i="83"/>
  <c r="A101" i="85"/>
  <c r="A61" i="85"/>
  <c r="A105" i="85"/>
  <c r="A65" i="85"/>
  <c r="A109" i="85"/>
  <c r="A69" i="85"/>
  <c r="A113" i="85"/>
  <c r="A73" i="85"/>
  <c r="A53" i="76"/>
  <c r="A93" i="76"/>
  <c r="A102" i="76"/>
  <c r="A62" i="76"/>
  <c r="A96" i="73"/>
  <c r="A56" i="73"/>
  <c r="A100" i="73"/>
  <c r="A60" i="73"/>
  <c r="A104" i="73"/>
  <c r="A64" i="73"/>
  <c r="A108" i="73"/>
  <c r="A68" i="73"/>
  <c r="A59" i="81"/>
  <c r="A99" i="81"/>
  <c r="A63" i="81"/>
  <c r="A103" i="81"/>
  <c r="A67" i="81"/>
  <c r="A107" i="81"/>
  <c r="A71" i="81"/>
  <c r="A111" i="81"/>
  <c r="A92" i="83"/>
  <c r="A52" i="83"/>
  <c r="A100" i="83"/>
  <c r="A60" i="83"/>
  <c r="A104" i="83"/>
  <c r="A64" i="83"/>
  <c r="A108" i="83"/>
  <c r="A68" i="83"/>
  <c r="A112" i="83"/>
  <c r="A72" i="83"/>
  <c r="A102" i="85"/>
  <c r="A62" i="85"/>
  <c r="A106" i="85"/>
  <c r="A66" i="85"/>
  <c r="A110" i="85"/>
  <c r="A70" i="85"/>
  <c r="A114" i="85"/>
  <c r="A74" i="85"/>
  <c r="A57" i="76"/>
  <c r="A97" i="76"/>
  <c r="A105" i="68"/>
  <c r="A65" i="68"/>
  <c r="A63" i="10"/>
  <c r="A103" i="10"/>
  <c r="A99" i="73"/>
  <c r="A59" i="73"/>
  <c r="A111" i="73"/>
  <c r="A71" i="73"/>
  <c r="A98" i="81"/>
  <c r="A58" i="81"/>
  <c r="A110" i="81"/>
  <c r="A70" i="81"/>
  <c r="A107" i="83"/>
  <c r="A67" i="83"/>
  <c r="A53" i="6"/>
  <c r="A93" i="6"/>
  <c r="A98" i="76"/>
  <c r="A58" i="76"/>
  <c r="A92" i="73"/>
  <c r="A52" i="73"/>
  <c r="A112" i="73"/>
  <c r="A72" i="73"/>
  <c r="A94" i="76"/>
  <c r="A54" i="76"/>
  <c r="A92" i="68"/>
  <c r="A52" i="68"/>
  <c r="A100" i="68"/>
  <c r="A60" i="68"/>
  <c r="A104" i="68"/>
  <c r="A64" i="68"/>
  <c r="A108" i="68"/>
  <c r="A68" i="68"/>
  <c r="A94" i="10"/>
  <c r="A54" i="10"/>
  <c r="A98" i="10"/>
  <c r="A58" i="10"/>
  <c r="A102" i="10"/>
  <c r="A62" i="10"/>
  <c r="A60" i="97"/>
  <c r="A59" i="97"/>
  <c r="A431" i="97"/>
  <c r="A430" i="97"/>
  <c r="A429" i="97"/>
  <c r="A428" i="97"/>
  <c r="A427" i="97"/>
  <c r="A426" i="97"/>
  <c r="A425" i="97"/>
  <c r="A424" i="97"/>
  <c r="A4" i="32"/>
  <c r="A201" i="97"/>
  <c r="A4" i="28" s="1"/>
  <c r="A52" i="97"/>
  <c r="A4" i="45" s="1"/>
  <c r="A116" i="38"/>
  <c r="A116" i="45"/>
  <c r="A116" i="47"/>
  <c r="A116" i="49"/>
  <c r="A116" i="41"/>
  <c r="A76" i="38"/>
  <c r="A76" i="45"/>
  <c r="A76" i="47"/>
  <c r="A76" i="49"/>
  <c r="A76" i="41"/>
  <c r="A35" i="97"/>
  <c r="A34" i="97"/>
  <c r="A31" i="97"/>
  <c r="A30" i="97"/>
  <c r="A29" i="97"/>
  <c r="A28" i="97"/>
  <c r="A62" i="97"/>
  <c r="A11" i="76" l="1"/>
  <c r="A51" i="45"/>
  <c r="A51" i="76"/>
  <c r="A51" i="10"/>
  <c r="A51" i="22"/>
  <c r="A51" i="81"/>
  <c r="A51" i="85"/>
  <c r="A51" i="8"/>
  <c r="A51" i="36"/>
  <c r="A51" i="73"/>
  <c r="A51" i="6"/>
  <c r="A51" i="24"/>
  <c r="A51" i="32"/>
  <c r="A51" i="7"/>
  <c r="A51" i="68"/>
  <c r="A51" i="64"/>
  <c r="A51" i="28"/>
  <c r="A51" i="5"/>
  <c r="A51" i="9"/>
  <c r="A51" i="13"/>
  <c r="A51" i="15"/>
  <c r="A51" i="83"/>
  <c r="A51" i="17"/>
  <c r="A51" i="69"/>
  <c r="A91" i="45"/>
  <c r="A91" i="24"/>
  <c r="A91" i="17"/>
  <c r="A91" i="32"/>
  <c r="A91" i="69"/>
  <c r="A91" i="7"/>
  <c r="A91" i="28"/>
  <c r="A91" i="9"/>
  <c r="A91" i="13"/>
  <c r="A91" i="83"/>
  <c r="A91" i="76"/>
  <c r="A91" i="10"/>
  <c r="A91" i="22"/>
  <c r="A91" i="81"/>
  <c r="A91" i="85"/>
  <c r="A91" i="8"/>
  <c r="A91" i="68"/>
  <c r="A91" i="64"/>
  <c r="A91" i="5"/>
  <c r="A91" i="15"/>
  <c r="A91" i="73"/>
  <c r="A91" i="6"/>
  <c r="A91" i="36"/>
  <c r="A11" i="69"/>
  <c r="A51" i="47"/>
  <c r="A51" i="41"/>
  <c r="A11" i="17"/>
  <c r="A4" i="41"/>
  <c r="A11" i="47"/>
  <c r="A51" i="38"/>
  <c r="A4" i="47"/>
  <c r="A4" i="38"/>
  <c r="A11" i="9"/>
  <c r="A11" i="64"/>
  <c r="A11" i="7"/>
  <c r="A11" i="32"/>
  <c r="A11" i="24"/>
  <c r="A11" i="45"/>
  <c r="A11" i="13"/>
  <c r="A11" i="15"/>
  <c r="A11" i="73"/>
  <c r="A11" i="83"/>
  <c r="A11" i="6"/>
  <c r="A11" i="36"/>
  <c r="A11" i="41"/>
  <c r="A11" i="49"/>
  <c r="A11" i="10"/>
  <c r="A11" i="22"/>
  <c r="A11" i="81"/>
  <c r="A11" i="85"/>
  <c r="A11" i="8"/>
  <c r="A11" i="38"/>
  <c r="A91" i="47"/>
  <c r="A91" i="38"/>
  <c r="A91" i="41"/>
  <c r="A11" i="5"/>
  <c r="A11" i="28"/>
  <c r="A11" i="68"/>
  <c r="A91" i="49"/>
  <c r="A51" i="49"/>
  <c r="A4" i="49"/>
  <c r="A279" i="97"/>
  <c r="A15" i="81" s="1"/>
  <c r="A280" i="97"/>
  <c r="A16" i="81" s="1"/>
  <c r="A281" i="97"/>
  <c r="A17" i="81" s="1"/>
  <c r="A282" i="97"/>
  <c r="A283" i="97"/>
  <c r="A284" i="97"/>
  <c r="A285" i="97"/>
  <c r="A286" i="97"/>
  <c r="A287" i="97"/>
  <c r="A288" i="97"/>
  <c r="A289" i="97"/>
  <c r="A290" i="97"/>
  <c r="A291" i="97"/>
  <c r="A292" i="97"/>
  <c r="A293" i="97"/>
  <c r="A294" i="97"/>
  <c r="A295" i="97"/>
  <c r="A296" i="97"/>
  <c r="A297" i="97"/>
  <c r="A298" i="97"/>
  <c r="A299" i="97"/>
  <c r="A301" i="97"/>
  <c r="A1" i="83" s="1"/>
  <c r="A325" i="97"/>
  <c r="A13" i="83" s="1"/>
  <c r="A326" i="97"/>
  <c r="A14" i="83" s="1"/>
  <c r="A327" i="97"/>
  <c r="A15" i="83" s="1"/>
  <c r="A328" i="97"/>
  <c r="A16" i="83" s="1"/>
  <c r="A329" i="97"/>
  <c r="A17" i="83" s="1"/>
  <c r="A330" i="97"/>
  <c r="A18" i="83" s="1"/>
  <c r="A331" i="97"/>
  <c r="A1" i="69" s="1"/>
  <c r="A332" i="97"/>
  <c r="A12" i="69" s="1"/>
  <c r="A333" i="97"/>
  <c r="A13" i="69" s="1"/>
  <c r="A334" i="97"/>
  <c r="A14" i="69" s="1"/>
  <c r="A335" i="97"/>
  <c r="A15" i="69" s="1"/>
  <c r="A336" i="97"/>
  <c r="A16" i="69" s="1"/>
  <c r="A337" i="97"/>
  <c r="A17" i="69" s="1"/>
  <c r="A338" i="97"/>
  <c r="A18" i="69" s="1"/>
  <c r="A339" i="97"/>
  <c r="A1" i="85" s="1"/>
  <c r="A363" i="97"/>
  <c r="A13" i="85" s="1"/>
  <c r="A364" i="97"/>
  <c r="A14" i="85" s="1"/>
  <c r="A365" i="97"/>
  <c r="A15" i="85" s="1"/>
  <c r="A366" i="97"/>
  <c r="A16" i="85" s="1"/>
  <c r="A367" i="97"/>
  <c r="A17" i="85" s="1"/>
  <c r="A368" i="97"/>
  <c r="A18" i="85" s="1"/>
  <c r="A369" i="97"/>
  <c r="A370" i="97"/>
  <c r="A372" i="97"/>
  <c r="A373" i="97"/>
  <c r="A374" i="97"/>
  <c r="A375" i="97"/>
  <c r="A376" i="97"/>
  <c r="A377" i="97"/>
  <c r="A378" i="97"/>
  <c r="A379" i="97"/>
  <c r="A380" i="97"/>
  <c r="A381" i="97"/>
  <c r="A1" i="5" s="1"/>
  <c r="A382" i="97"/>
  <c r="A12" i="5" s="1"/>
  <c r="A383" i="97"/>
  <c r="A13" i="5" s="1"/>
  <c r="A384" i="97"/>
  <c r="A14" i="5" s="1"/>
  <c r="A385" i="97"/>
  <c r="A1" i="6" s="1"/>
  <c r="A386" i="97"/>
  <c r="A12" i="6" s="1"/>
  <c r="A388" i="97"/>
  <c r="A14" i="6" s="1"/>
  <c r="A389" i="97"/>
  <c r="A15" i="6" s="1"/>
  <c r="A390" i="97"/>
  <c r="A16" i="6" s="1"/>
  <c r="A391" i="97"/>
  <c r="A17" i="6" s="1"/>
  <c r="A392" i="97"/>
  <c r="A1" i="7" s="1"/>
  <c r="A393" i="97"/>
  <c r="A12" i="7" s="1"/>
  <c r="A394" i="97"/>
  <c r="A13" i="7" s="1"/>
  <c r="A395" i="97"/>
  <c r="A14" i="7" s="1"/>
  <c r="A396" i="97"/>
  <c r="A15" i="7" s="1"/>
  <c r="A397" i="97"/>
  <c r="A16" i="7" s="1"/>
  <c r="A398" i="97"/>
  <c r="A17" i="7" s="1"/>
  <c r="A399" i="97"/>
  <c r="A18" i="7" s="1"/>
  <c r="A400" i="97"/>
  <c r="A1" i="8" s="1"/>
  <c r="A401" i="97"/>
  <c r="A12" i="8" s="1"/>
  <c r="A402" i="97"/>
  <c r="A13" i="8" s="1"/>
  <c r="A403" i="97"/>
  <c r="A1" i="9" s="1"/>
  <c r="A404" i="97"/>
  <c r="A12" i="9" s="1"/>
  <c r="A405" i="97"/>
  <c r="A13" i="9" s="1"/>
  <c r="A406" i="97"/>
  <c r="A14" i="9" s="1"/>
  <c r="A407" i="97"/>
  <c r="A15" i="9" s="1"/>
  <c r="A408" i="97"/>
  <c r="A16" i="9" s="1"/>
  <c r="A409" i="97"/>
  <c r="A17" i="9" s="1"/>
  <c r="A415" i="97"/>
  <c r="A416" i="97"/>
  <c r="A414" i="97"/>
  <c r="A417" i="97"/>
  <c r="A418" i="97"/>
  <c r="A411" i="97"/>
  <c r="A412" i="97"/>
  <c r="A413" i="97"/>
  <c r="A420" i="97"/>
  <c r="A421" i="97"/>
  <c r="A422" i="97"/>
  <c r="A371" i="97"/>
  <c r="A410" i="97"/>
  <c r="A24" i="97"/>
  <c r="A25" i="97"/>
  <c r="A26" i="97"/>
  <c r="A423" i="97"/>
  <c r="A27" i="97"/>
  <c r="A419" i="97"/>
  <c r="A40" i="97"/>
  <c r="A41" i="97"/>
  <c r="A42" i="97"/>
  <c r="A43" i="97"/>
  <c r="A44" i="97"/>
  <c r="A45" i="97"/>
  <c r="A46" i="97"/>
  <c r="A432" i="97"/>
  <c r="A433" i="97"/>
  <c r="A84" i="97"/>
  <c r="A85" i="97"/>
  <c r="A86" i="97"/>
  <c r="A87" i="97"/>
  <c r="A88" i="97"/>
  <c r="A89" i="97"/>
  <c r="A90" i="97"/>
  <c r="A91" i="97"/>
  <c r="A92" i="97"/>
  <c r="A93" i="97"/>
  <c r="A94" i="97"/>
  <c r="A95" i="97"/>
  <c r="A96" i="97"/>
  <c r="A97" i="97"/>
  <c r="A98" i="97"/>
  <c r="A99" i="97"/>
  <c r="A100" i="97"/>
  <c r="A101" i="97"/>
  <c r="A102" i="97"/>
  <c r="A103" i="97"/>
  <c r="A1" i="68" s="1"/>
  <c r="A121" i="97"/>
  <c r="A13" i="68" s="1"/>
  <c r="A122" i="97"/>
  <c r="A14" i="68" s="1"/>
  <c r="A123" i="97"/>
  <c r="A15" i="68" s="1"/>
  <c r="A124" i="97"/>
  <c r="A16" i="68" s="1"/>
  <c r="A125" i="97"/>
  <c r="A17" i="68" s="1"/>
  <c r="A126" i="97"/>
  <c r="A18" i="68" s="1"/>
  <c r="A127" i="97"/>
  <c r="A1" i="13" s="1"/>
  <c r="A128" i="97"/>
  <c r="A12" i="13" s="1"/>
  <c r="A129" i="97"/>
  <c r="A13" i="13" s="1"/>
  <c r="A130" i="97"/>
  <c r="A14" i="13" s="1"/>
  <c r="A131" i="97"/>
  <c r="A15" i="13" s="1"/>
  <c r="A132" i="97"/>
  <c r="A16" i="13" s="1"/>
  <c r="A133" i="97"/>
  <c r="A17" i="13" s="1"/>
  <c r="A134" i="97"/>
  <c r="A18" i="13" s="1"/>
  <c r="A135" i="97"/>
  <c r="A1" i="24" s="1"/>
  <c r="A136" i="97"/>
  <c r="A12" i="24" s="1"/>
  <c r="A137" i="97"/>
  <c r="A13" i="24" s="1"/>
  <c r="A138" i="97"/>
  <c r="A14" i="24" s="1"/>
  <c r="A139" i="97"/>
  <c r="A15" i="24" s="1"/>
  <c r="A140" i="97"/>
  <c r="A16" i="24" s="1"/>
  <c r="A141" i="97"/>
  <c r="A17" i="24" s="1"/>
  <c r="A142" i="97"/>
  <c r="A18" i="24" s="1"/>
  <c r="A143" i="97"/>
  <c r="A1" i="76" s="1"/>
  <c r="A156" i="97"/>
  <c r="A157" i="97"/>
  <c r="A158" i="97"/>
  <c r="A159" i="97"/>
  <c r="A160" i="97"/>
  <c r="A161" i="97"/>
  <c r="A1" i="10" s="1"/>
  <c r="A175" i="97"/>
  <c r="A176" i="97"/>
  <c r="A177" i="97"/>
  <c r="A178" i="97"/>
  <c r="A179" i="97"/>
  <c r="A180" i="97"/>
  <c r="A181" i="97"/>
  <c r="A182" i="97"/>
  <c r="A1" i="64" s="1"/>
  <c r="A183" i="97"/>
  <c r="A12" i="64" s="1"/>
  <c r="A184" i="97"/>
  <c r="A13" i="64" s="1"/>
  <c r="A185" i="97"/>
  <c r="A14" i="64" s="1"/>
  <c r="A186" i="97"/>
  <c r="A1" i="15" s="1"/>
  <c r="A187" i="97"/>
  <c r="A1" i="17" s="1"/>
  <c r="A188" i="97"/>
  <c r="A189" i="97"/>
  <c r="A190" i="97"/>
  <c r="A191" i="97"/>
  <c r="A192" i="97"/>
  <c r="A193" i="97"/>
  <c r="A194" i="97"/>
  <c r="A1" i="22" s="1"/>
  <c r="A195" i="97"/>
  <c r="A12" i="22" s="1"/>
  <c r="A196" i="97"/>
  <c r="A13" i="22" s="1"/>
  <c r="A197" i="97"/>
  <c r="A14" i="22" s="1"/>
  <c r="A198" i="97"/>
  <c r="A15" i="22" s="1"/>
  <c r="A199" i="97"/>
  <c r="A16" i="22" s="1"/>
  <c r="A200" i="97"/>
  <c r="A1" i="28" s="1"/>
  <c r="A202" i="97"/>
  <c r="A12" i="28" s="1"/>
  <c r="A203" i="97"/>
  <c r="A13" i="28" s="1"/>
  <c r="A204" i="97"/>
  <c r="A14" i="28" s="1"/>
  <c r="A205" i="97"/>
  <c r="A15" i="28" s="1"/>
  <c r="A206" i="97"/>
  <c r="A16" i="28" s="1"/>
  <c r="A207" i="97"/>
  <c r="A17" i="28" s="1"/>
  <c r="A208" i="97"/>
  <c r="A1" i="73" s="1"/>
  <c r="A1" i="32"/>
  <c r="A12" i="32"/>
  <c r="A13" i="32"/>
  <c r="A14" i="32"/>
  <c r="A15" i="32"/>
  <c r="A16" i="32"/>
  <c r="A17" i="32"/>
  <c r="A1" i="81"/>
  <c r="A278" i="97"/>
  <c r="A14" i="81" s="1"/>
  <c r="A83" i="97"/>
  <c r="A82" i="97"/>
  <c r="A81" i="97"/>
  <c r="A80" i="97"/>
  <c r="A79" i="97"/>
  <c r="A78" i="97"/>
  <c r="A77" i="97"/>
  <c r="A76" i="97"/>
  <c r="A75" i="97"/>
  <c r="A74" i="97"/>
  <c r="A73" i="97"/>
  <c r="A72" i="97"/>
  <c r="A71" i="97"/>
  <c r="A70" i="97"/>
  <c r="A69" i="97"/>
  <c r="A68" i="97"/>
  <c r="A67" i="97"/>
  <c r="A66" i="97"/>
  <c r="A65" i="97"/>
  <c r="A64" i="97"/>
  <c r="A63" i="97"/>
  <c r="A61" i="97"/>
  <c r="A58" i="97"/>
  <c r="A51" i="97"/>
  <c r="A1" i="49" s="1"/>
  <c r="A50" i="97"/>
  <c r="A1" i="47" s="1"/>
  <c r="A49" i="97"/>
  <c r="A1" i="45" s="1"/>
  <c r="A48" i="97"/>
  <c r="A1" i="38" s="1"/>
  <c r="A47" i="97"/>
  <c r="A1" i="41" s="1"/>
  <c r="A39" i="97"/>
  <c r="A38" i="97"/>
  <c r="A37" i="97"/>
  <c r="A57" i="97"/>
  <c r="A56" i="97"/>
  <c r="A55" i="97"/>
  <c r="A54" i="97"/>
  <c r="A53" i="97"/>
  <c r="A33" i="97"/>
  <c r="A32" i="97"/>
  <c r="L16" i="22" l="1"/>
  <c r="G102" i="10"/>
  <c r="L63" i="10"/>
  <c r="G62" i="10"/>
  <c r="G23" i="10"/>
  <c r="L102" i="10"/>
  <c r="L61" i="10"/>
  <c r="G103" i="10"/>
  <c r="G63" i="10"/>
  <c r="L56" i="22"/>
  <c r="L103" i="10"/>
  <c r="L62" i="10"/>
  <c r="L23" i="10"/>
  <c r="G22" i="10"/>
  <c r="L96" i="22"/>
  <c r="L22" i="10"/>
  <c r="L101" i="10"/>
  <c r="L21" i="10"/>
  <c r="A56" i="68"/>
  <c r="A96" i="68"/>
  <c r="A97" i="85"/>
  <c r="A57" i="85"/>
  <c r="A93" i="85"/>
  <c r="A53" i="85"/>
  <c r="A56" i="83"/>
  <c r="A96" i="83"/>
  <c r="A56" i="81"/>
  <c r="A96" i="81"/>
  <c r="A94" i="81"/>
  <c r="A54" i="81"/>
  <c r="A55" i="68"/>
  <c r="A95" i="68"/>
  <c r="A96" i="85"/>
  <c r="A56" i="85"/>
  <c r="A95" i="83"/>
  <c r="A55" i="83"/>
  <c r="A95" i="81"/>
  <c r="A55" i="81"/>
  <c r="A58" i="68"/>
  <c r="A98" i="68"/>
  <c r="A94" i="68"/>
  <c r="A54" i="68"/>
  <c r="A95" i="85"/>
  <c r="A55" i="85"/>
  <c r="A58" i="83"/>
  <c r="A98" i="83"/>
  <c r="A54" i="83"/>
  <c r="A94" i="83"/>
  <c r="A57" i="68"/>
  <c r="A97" i="68"/>
  <c r="A53" i="68"/>
  <c r="A93" i="68"/>
  <c r="A58" i="85"/>
  <c r="A98" i="85"/>
  <c r="A94" i="85"/>
  <c r="A54" i="85"/>
  <c r="A57" i="83"/>
  <c r="A97" i="83"/>
  <c r="A53" i="83"/>
  <c r="A93" i="83"/>
  <c r="A97" i="81"/>
  <c r="A57" i="81"/>
  <c r="A94" i="32"/>
  <c r="A54" i="32"/>
  <c r="A56" i="22"/>
  <c r="A96" i="22"/>
  <c r="A52" i="22"/>
  <c r="A92" i="22"/>
  <c r="A92" i="64"/>
  <c r="A52" i="64"/>
  <c r="A98" i="24"/>
  <c r="A58" i="24"/>
  <c r="A58" i="13"/>
  <c r="A98" i="13"/>
  <c r="A54" i="13"/>
  <c r="A94" i="13"/>
  <c r="A55" i="9"/>
  <c r="A95" i="9"/>
  <c r="A98" i="7"/>
  <c r="A58" i="7"/>
  <c r="A94" i="7"/>
  <c r="A54" i="7"/>
  <c r="A92" i="6"/>
  <c r="A52" i="6"/>
  <c r="A92" i="5"/>
  <c r="A52" i="5"/>
  <c r="A94" i="69"/>
  <c r="A54" i="69"/>
  <c r="A57" i="32"/>
  <c r="A97" i="32"/>
  <c r="A97" i="28"/>
  <c r="A57" i="28"/>
  <c r="A93" i="28"/>
  <c r="A53" i="28"/>
  <c r="A57" i="24"/>
  <c r="A97" i="24"/>
  <c r="A53" i="24"/>
  <c r="A93" i="24"/>
  <c r="A57" i="13"/>
  <c r="A97" i="13"/>
  <c r="A53" i="13"/>
  <c r="A93" i="13"/>
  <c r="A54" i="9"/>
  <c r="A94" i="9"/>
  <c r="A93" i="8"/>
  <c r="A53" i="8"/>
  <c r="A57" i="7"/>
  <c r="A97" i="7"/>
  <c r="A93" i="7"/>
  <c r="A53" i="7"/>
  <c r="A96" i="6"/>
  <c r="A56" i="6"/>
  <c r="A97" i="69"/>
  <c r="A57" i="69"/>
  <c r="A93" i="69"/>
  <c r="A53" i="69"/>
  <c r="A56" i="32"/>
  <c r="A96" i="32"/>
  <c r="A52" i="32"/>
  <c r="A92" i="32"/>
  <c r="A96" i="28"/>
  <c r="A56" i="28"/>
  <c r="A92" i="28"/>
  <c r="A52" i="28"/>
  <c r="A94" i="22"/>
  <c r="A54" i="22"/>
  <c r="A54" i="64"/>
  <c r="A94" i="64"/>
  <c r="A56" i="24"/>
  <c r="A96" i="24"/>
  <c r="A52" i="24"/>
  <c r="A92" i="24"/>
  <c r="A96" i="13"/>
  <c r="A56" i="13"/>
  <c r="A92" i="13"/>
  <c r="A52" i="13"/>
  <c r="A97" i="9"/>
  <c r="A57" i="9"/>
  <c r="A93" i="9"/>
  <c r="A53" i="9"/>
  <c r="A92" i="8"/>
  <c r="A52" i="8"/>
  <c r="A96" i="7"/>
  <c r="A56" i="7"/>
  <c r="A52" i="7"/>
  <c r="A92" i="7"/>
  <c r="A95" i="6"/>
  <c r="A55" i="6"/>
  <c r="A54" i="5"/>
  <c r="A94" i="5"/>
  <c r="A96" i="69"/>
  <c r="A56" i="69"/>
  <c r="A52" i="69"/>
  <c r="A92" i="69"/>
  <c r="A54" i="28"/>
  <c r="A94" i="28"/>
  <c r="A94" i="24"/>
  <c r="A54" i="24"/>
  <c r="A97" i="6"/>
  <c r="A57" i="6"/>
  <c r="A98" i="69"/>
  <c r="A58" i="69"/>
  <c r="A53" i="32"/>
  <c r="A93" i="32"/>
  <c r="A55" i="22"/>
  <c r="A95" i="22"/>
  <c r="A95" i="32"/>
  <c r="A55" i="32"/>
  <c r="A55" i="28"/>
  <c r="A95" i="28"/>
  <c r="A93" i="22"/>
  <c r="A53" i="22"/>
  <c r="A93" i="64"/>
  <c r="A53" i="64"/>
  <c r="A95" i="24"/>
  <c r="A55" i="24"/>
  <c r="A95" i="13"/>
  <c r="A55" i="13"/>
  <c r="A96" i="9"/>
  <c r="A56" i="9"/>
  <c r="A92" i="9"/>
  <c r="A52" i="9"/>
  <c r="A95" i="7"/>
  <c r="A55" i="7"/>
  <c r="A94" i="6"/>
  <c r="A54" i="6"/>
  <c r="A93" i="5"/>
  <c r="A53" i="5"/>
  <c r="A95" i="69"/>
  <c r="A55" i="69"/>
  <c r="A15" i="38"/>
  <c r="A15" i="45"/>
  <c r="A15" i="47"/>
  <c r="A15" i="49"/>
  <c r="A15" i="41"/>
  <c r="A12" i="36"/>
  <c r="A12" i="49"/>
  <c r="A12" i="45"/>
  <c r="A12" i="47"/>
  <c r="A12" i="38"/>
  <c r="A12" i="41"/>
  <c r="A15" i="36"/>
  <c r="A1" i="36"/>
  <c r="A14" i="15"/>
  <c r="A14" i="17"/>
  <c r="A13" i="38"/>
  <c r="A13" i="45"/>
  <c r="A13" i="47"/>
  <c r="A13" i="49"/>
  <c r="A13" i="41"/>
  <c r="A14" i="36"/>
  <c r="A17" i="17"/>
  <c r="A17" i="15"/>
  <c r="A13" i="17"/>
  <c r="A13" i="15"/>
  <c r="A16" i="36"/>
  <c r="A15" i="15"/>
  <c r="A15" i="17"/>
  <c r="A16" i="38"/>
  <c r="A16" i="47"/>
  <c r="A16" i="41"/>
  <c r="A16" i="45"/>
  <c r="A16" i="49"/>
  <c r="A14" i="45"/>
  <c r="A14" i="49"/>
  <c r="A14" i="38"/>
  <c r="A14" i="47"/>
  <c r="A14" i="41"/>
  <c r="A13" i="36"/>
  <c r="A16" i="17"/>
  <c r="A16" i="15"/>
  <c r="A12" i="17"/>
  <c r="A12" i="15"/>
  <c r="O4" i="41"/>
  <c r="J4" i="38"/>
  <c r="E4" i="45"/>
  <c r="O4" i="49"/>
  <c r="J4" i="68"/>
  <c r="E4" i="13"/>
  <c r="O4" i="10"/>
  <c r="J4" i="64"/>
  <c r="E4" i="41"/>
  <c r="O4" i="45"/>
  <c r="J4" i="47"/>
  <c r="E4" i="49"/>
  <c r="O4" i="13"/>
  <c r="J4" i="24"/>
  <c r="E4" i="10"/>
  <c r="E4" i="38"/>
  <c r="J4" i="49"/>
  <c r="O4" i="24"/>
  <c r="O4" i="38"/>
  <c r="E4" i="47"/>
  <c r="J4" i="13"/>
  <c r="O4" i="64"/>
  <c r="J4" i="15"/>
  <c r="E4" i="17"/>
  <c r="O4" i="28"/>
  <c r="E4" i="32"/>
  <c r="J4" i="83"/>
  <c r="E4" i="69"/>
  <c r="J4" i="41"/>
  <c r="O4" i="47"/>
  <c r="E4" i="68"/>
  <c r="J4" i="10"/>
  <c r="O4" i="15"/>
  <c r="J4" i="17"/>
  <c r="E4" i="24"/>
  <c r="J4" i="22"/>
  <c r="J4" i="28"/>
  <c r="E4" i="81"/>
  <c r="E4" i="83"/>
  <c r="E4" i="85"/>
  <c r="O4" i="6"/>
  <c r="J4" i="7"/>
  <c r="E4" i="8"/>
  <c r="O4" i="36"/>
  <c r="O4" i="68"/>
  <c r="O4" i="17"/>
  <c r="E4" i="22"/>
  <c r="E4" i="28"/>
  <c r="E4" i="73"/>
  <c r="O4" i="83"/>
  <c r="J4" i="85"/>
  <c r="E4" i="5"/>
  <c r="O4" i="7"/>
  <c r="J4" i="8"/>
  <c r="E4" i="9"/>
  <c r="E4" i="76"/>
  <c r="E4" i="64"/>
  <c r="O4" i="22"/>
  <c r="J4" i="32"/>
  <c r="J4" i="81"/>
  <c r="O4" i="5"/>
  <c r="J4" i="6"/>
  <c r="E4" i="7"/>
  <c r="O4" i="9"/>
  <c r="J4" i="36"/>
  <c r="O4" i="8"/>
  <c r="E4" i="6"/>
  <c r="J4" i="45"/>
  <c r="J4" i="5"/>
  <c r="E4" i="15"/>
  <c r="O4" i="32"/>
  <c r="O4" i="81"/>
  <c r="O4" i="85"/>
  <c r="J4" i="9"/>
  <c r="E4" i="36"/>
  <c r="K4" i="41"/>
  <c r="F4" i="38"/>
  <c r="P4" i="47"/>
  <c r="K4" i="49"/>
  <c r="F4" i="68"/>
  <c r="P4" i="24"/>
  <c r="K4" i="10"/>
  <c r="F4" i="76"/>
  <c r="P4" i="38"/>
  <c r="K4" i="45"/>
  <c r="F4" i="47"/>
  <c r="P4" i="68"/>
  <c r="K4" i="13"/>
  <c r="F4" i="24"/>
  <c r="P4" i="64"/>
  <c r="F4" i="41"/>
  <c r="K4" i="47"/>
  <c r="P4" i="13"/>
  <c r="P4" i="41"/>
  <c r="F4" i="45"/>
  <c r="K4" i="68"/>
  <c r="P4" i="10"/>
  <c r="F4" i="15"/>
  <c r="P4" i="22"/>
  <c r="K4" i="28"/>
  <c r="F4" i="73"/>
  <c r="P4" i="81"/>
  <c r="F4" i="83"/>
  <c r="P4" i="45"/>
  <c r="F4" i="49"/>
  <c r="K4" i="24"/>
  <c r="K4" i="15"/>
  <c r="F4" i="10"/>
  <c r="P4" i="17"/>
  <c r="P4" i="28"/>
  <c r="P4" i="32"/>
  <c r="K4" i="83"/>
  <c r="P4" i="5"/>
  <c r="K4" i="6"/>
  <c r="F4" i="7"/>
  <c r="P4" i="9"/>
  <c r="K4" i="36"/>
  <c r="F4" i="13"/>
  <c r="P4" i="15"/>
  <c r="K4" i="32"/>
  <c r="K4" i="81"/>
  <c r="F4" i="69"/>
  <c r="F4" i="85"/>
  <c r="P4" i="6"/>
  <c r="K4" i="7"/>
  <c r="F4" i="8"/>
  <c r="P4" i="36"/>
  <c r="K4" i="38"/>
  <c r="K4" i="64"/>
  <c r="K4" i="17"/>
  <c r="F4" i="17"/>
  <c r="F4" i="22"/>
  <c r="F4" i="28"/>
  <c r="P4" i="83"/>
  <c r="P4" i="85"/>
  <c r="K4" i="5"/>
  <c r="F4" i="6"/>
  <c r="P4" i="8"/>
  <c r="K4" i="9"/>
  <c r="F4" i="36"/>
  <c r="F4" i="64"/>
  <c r="K4" i="22"/>
  <c r="K4" i="85"/>
  <c r="F4" i="9"/>
  <c r="F4" i="32"/>
  <c r="F4" i="81"/>
  <c r="K4" i="8"/>
  <c r="P4" i="49"/>
  <c r="F4" i="5"/>
  <c r="P4" i="7"/>
  <c r="I4" i="41"/>
  <c r="D4" i="38"/>
  <c r="N4" i="47"/>
  <c r="I4" i="49"/>
  <c r="D4" i="68"/>
  <c r="N4" i="24"/>
  <c r="I4" i="10"/>
  <c r="D4" i="76"/>
  <c r="N4" i="38"/>
  <c r="I4" i="45"/>
  <c r="D4" i="47"/>
  <c r="N4" i="68"/>
  <c r="I4" i="13"/>
  <c r="D4" i="24"/>
  <c r="N4" i="64"/>
  <c r="N4" i="45"/>
  <c r="D4" i="49"/>
  <c r="I4" i="24"/>
  <c r="I4" i="38"/>
  <c r="N4" i="49"/>
  <c r="D4" i="13"/>
  <c r="I4" i="64"/>
  <c r="D4" i="15"/>
  <c r="N4" i="22"/>
  <c r="I4" i="28"/>
  <c r="D4" i="73"/>
  <c r="N4" i="81"/>
  <c r="D4" i="83"/>
  <c r="D4" i="41"/>
  <c r="I4" i="47"/>
  <c r="N4" i="13"/>
  <c r="D4" i="10"/>
  <c r="I4" i="15"/>
  <c r="N4" i="41"/>
  <c r="D4" i="64"/>
  <c r="I4" i="32"/>
  <c r="I4" i="81"/>
  <c r="D4" i="69"/>
  <c r="N4" i="5"/>
  <c r="I4" i="6"/>
  <c r="D4" i="7"/>
  <c r="N4" i="9"/>
  <c r="I4" i="36"/>
  <c r="N4" i="10"/>
  <c r="I4" i="17"/>
  <c r="I4" i="22"/>
  <c r="D4" i="32"/>
  <c r="D4" i="81"/>
  <c r="D4" i="85"/>
  <c r="N4" i="6"/>
  <c r="I4" i="7"/>
  <c r="D4" i="8"/>
  <c r="N4" i="36"/>
  <c r="D4" i="45"/>
  <c r="N4" i="15"/>
  <c r="N4" i="28"/>
  <c r="N4" i="32"/>
  <c r="I4" i="83"/>
  <c r="N4" i="85"/>
  <c r="I4" i="5"/>
  <c r="D4" i="6"/>
  <c r="N4" i="8"/>
  <c r="I4" i="9"/>
  <c r="D4" i="36"/>
  <c r="I4" i="68"/>
  <c r="N4" i="17"/>
  <c r="D4" i="5"/>
  <c r="D4" i="17"/>
  <c r="D4" i="28"/>
  <c r="I4" i="85"/>
  <c r="D4" i="9"/>
  <c r="D4" i="22"/>
  <c r="I4" i="8"/>
  <c r="N4" i="83"/>
  <c r="N4" i="7"/>
  <c r="C4" i="41"/>
  <c r="M4" i="45"/>
  <c r="H4" i="47"/>
  <c r="C4" i="49"/>
  <c r="M4" i="13"/>
  <c r="H4" i="24"/>
  <c r="C4" i="10"/>
  <c r="M4" i="41"/>
  <c r="H4" i="38"/>
  <c r="C4" i="45"/>
  <c r="M4" i="49"/>
  <c r="H4" i="68"/>
  <c r="C4" i="13"/>
  <c r="M4" i="10"/>
  <c r="C4" i="76"/>
  <c r="H4" i="45"/>
  <c r="M4" i="68"/>
  <c r="C4" i="24"/>
  <c r="C4" i="38"/>
  <c r="H4" i="49"/>
  <c r="M4" i="24"/>
  <c r="C4" i="64"/>
  <c r="M4" i="17"/>
  <c r="H4" i="22"/>
  <c r="C4" i="28"/>
  <c r="M4" i="32"/>
  <c r="H4" i="81"/>
  <c r="M4" i="38"/>
  <c r="C4" i="47"/>
  <c r="H4" i="13"/>
  <c r="M4" i="64"/>
  <c r="H4" i="64"/>
  <c r="C4" i="15"/>
  <c r="M4" i="47"/>
  <c r="M4" i="15"/>
  <c r="M4" i="22"/>
  <c r="M4" i="28"/>
  <c r="H4" i="83"/>
  <c r="M4" i="85"/>
  <c r="H4" i="5"/>
  <c r="C4" i="6"/>
  <c r="M4" i="8"/>
  <c r="H4" i="9"/>
  <c r="C4" i="36"/>
  <c r="H4" i="41"/>
  <c r="H4" i="28"/>
  <c r="H4" i="32"/>
  <c r="C4" i="83"/>
  <c r="C4" i="69"/>
  <c r="M4" i="5"/>
  <c r="H4" i="6"/>
  <c r="C4" i="7"/>
  <c r="M4" i="9"/>
  <c r="H4" i="36"/>
  <c r="C4" i="68"/>
  <c r="H4" i="10"/>
  <c r="H4" i="15"/>
  <c r="C4" i="17"/>
  <c r="C4" i="22"/>
  <c r="M4" i="81"/>
  <c r="M4" i="83"/>
  <c r="H4" i="85"/>
  <c r="C4" i="5"/>
  <c r="M4" i="7"/>
  <c r="H4" i="8"/>
  <c r="C4" i="9"/>
  <c r="C4" i="8"/>
  <c r="C4" i="32"/>
  <c r="M4" i="6"/>
  <c r="H4" i="17"/>
  <c r="H4" i="7"/>
  <c r="C4" i="73"/>
  <c r="C4" i="81"/>
  <c r="C4" i="85"/>
  <c r="M4" i="36"/>
  <c r="B4" i="76"/>
  <c r="L4" i="38"/>
  <c r="G4" i="45"/>
  <c r="B4" i="47"/>
  <c r="L4" i="68"/>
  <c r="G4" i="13"/>
  <c r="B4" i="24"/>
  <c r="L4" i="64"/>
  <c r="G4" i="41"/>
  <c r="B4" i="38"/>
  <c r="L4" i="47"/>
  <c r="G4" i="49"/>
  <c r="B4" i="68"/>
  <c r="L4" i="24"/>
  <c r="G4" i="10"/>
  <c r="L4" i="41"/>
  <c r="B4" i="45"/>
  <c r="G4" i="68"/>
  <c r="L4" i="45"/>
  <c r="B4" i="49"/>
  <c r="G4" i="24"/>
  <c r="L4" i="15"/>
  <c r="G4" i="17"/>
  <c r="B4" i="22"/>
  <c r="G4" i="32"/>
  <c r="B4" i="81"/>
  <c r="L4" i="83"/>
  <c r="G4" i="38"/>
  <c r="L4" i="49"/>
  <c r="B4" i="13"/>
  <c r="B4" i="64"/>
  <c r="L4" i="17"/>
  <c r="L4" i="13"/>
  <c r="G4" i="15"/>
  <c r="B4" i="17"/>
  <c r="L4" i="32"/>
  <c r="L4" i="81"/>
  <c r="G4" i="85"/>
  <c r="B4" i="5"/>
  <c r="L4" i="7"/>
  <c r="G4" i="8"/>
  <c r="B4" i="9"/>
  <c r="G4" i="47"/>
  <c r="B4" i="10"/>
  <c r="G4" i="64"/>
  <c r="L4" i="22"/>
  <c r="L4" i="28"/>
  <c r="G4" i="81"/>
  <c r="G4" i="83"/>
  <c r="L4" i="85"/>
  <c r="G4" i="5"/>
  <c r="B4" i="6"/>
  <c r="L4" i="8"/>
  <c r="G4" i="9"/>
  <c r="B4" i="36"/>
  <c r="B4" i="15"/>
  <c r="B4" i="28"/>
  <c r="B4" i="73"/>
  <c r="B4" i="32"/>
  <c r="B4" i="85"/>
  <c r="L4" i="6"/>
  <c r="G4" i="7"/>
  <c r="B4" i="8"/>
  <c r="L4" i="36"/>
  <c r="G4" i="6"/>
  <c r="L4" i="10"/>
  <c r="B4" i="41"/>
  <c r="G4" i="22"/>
  <c r="G4" i="28"/>
  <c r="L4" i="5"/>
  <c r="G4" i="36"/>
  <c r="B4" i="69"/>
  <c r="B4" i="7"/>
  <c r="B4" i="83"/>
  <c r="L4" i="9"/>
  <c r="A2" i="76"/>
  <c r="A2" i="47"/>
  <c r="A2" i="24"/>
  <c r="A2" i="17"/>
  <c r="A2" i="32"/>
  <c r="A2" i="69"/>
  <c r="A2" i="7"/>
  <c r="A2" i="64"/>
  <c r="A2" i="5"/>
  <c r="A2" i="45"/>
  <c r="A2" i="73"/>
  <c r="A2" i="6"/>
  <c r="A2" i="41"/>
  <c r="A2" i="49"/>
  <c r="A2" i="10"/>
  <c r="A2" i="22"/>
  <c r="A2" i="81"/>
  <c r="A2" i="85"/>
  <c r="A2" i="8"/>
  <c r="A2" i="36"/>
  <c r="A2" i="38"/>
  <c r="A2" i="68"/>
  <c r="A2" i="28"/>
  <c r="A2" i="9"/>
  <c r="A2" i="13"/>
  <c r="A2" i="15"/>
  <c r="A2" i="83"/>
  <c r="B37" i="96"/>
  <c r="B34" i="96"/>
  <c r="B27" i="96"/>
  <c r="B23" i="96"/>
  <c r="B36" i="96"/>
  <c r="B33" i="96"/>
  <c r="B30" i="96"/>
  <c r="B26" i="96"/>
  <c r="B22" i="96"/>
  <c r="B19" i="96"/>
  <c r="B39" i="96"/>
  <c r="B35" i="96"/>
  <c r="B32" i="96"/>
  <c r="B29" i="96"/>
  <c r="B25" i="96"/>
  <c r="B21" i="96"/>
  <c r="B18" i="96"/>
  <c r="B38" i="96"/>
  <c r="B31" i="96"/>
  <c r="B28" i="96"/>
  <c r="B24" i="96"/>
  <c r="B20" i="96"/>
  <c r="B17" i="96"/>
  <c r="B13" i="96"/>
  <c r="B14" i="96"/>
  <c r="B16" i="96"/>
  <c r="B12" i="96"/>
  <c r="B15" i="96"/>
  <c r="A94" i="47" l="1"/>
  <c r="A96" i="38"/>
  <c r="A95" i="17"/>
  <c r="A55" i="17"/>
  <c r="A57" i="15"/>
  <c r="A97" i="15"/>
  <c r="A93" i="49"/>
  <c r="A54" i="15"/>
  <c r="A94" i="15"/>
  <c r="A92" i="38"/>
  <c r="A95" i="45"/>
  <c r="A56" i="17"/>
  <c r="A96" i="17"/>
  <c r="A94" i="38"/>
  <c r="A96" i="45"/>
  <c r="A95" i="15"/>
  <c r="A55" i="15"/>
  <c r="A57" i="17"/>
  <c r="A97" i="17"/>
  <c r="A93" i="47"/>
  <c r="A92" i="47"/>
  <c r="A95" i="41"/>
  <c r="A95" i="38"/>
  <c r="A92" i="15"/>
  <c r="A52" i="15"/>
  <c r="A93" i="36"/>
  <c r="A53" i="36"/>
  <c r="A94" i="49"/>
  <c r="A96" i="41"/>
  <c r="A56" i="36"/>
  <c r="A96" i="36"/>
  <c r="A53" i="15"/>
  <c r="A93" i="15"/>
  <c r="A54" i="36"/>
  <c r="A94" i="36"/>
  <c r="A93" i="45"/>
  <c r="A95" i="36"/>
  <c r="A55" i="36"/>
  <c r="A92" i="45"/>
  <c r="A95" i="49"/>
  <c r="A96" i="15"/>
  <c r="A56" i="15"/>
  <c r="A96" i="49"/>
  <c r="A92" i="36"/>
  <c r="A52" i="36"/>
  <c r="A52" i="17"/>
  <c r="A92" i="17"/>
  <c r="A94" i="41"/>
  <c r="A94" i="45"/>
  <c r="A96" i="47"/>
  <c r="A53" i="17"/>
  <c r="A93" i="17"/>
  <c r="A93" i="41"/>
  <c r="A93" i="38"/>
  <c r="A94" i="17"/>
  <c r="A54" i="17"/>
  <c r="A92" i="41"/>
  <c r="A92" i="49"/>
  <c r="A95" i="47"/>
  <c r="A54" i="38"/>
  <c r="A56" i="41"/>
  <c r="A53" i="38"/>
  <c r="A55" i="49"/>
  <c r="A54" i="49"/>
  <c r="A56" i="47"/>
  <c r="A53" i="49"/>
  <c r="A55" i="47"/>
  <c r="A54" i="41"/>
  <c r="A54" i="45"/>
  <c r="A56" i="49"/>
  <c r="A56" i="38"/>
  <c r="A53" i="47"/>
  <c r="A52" i="38"/>
  <c r="A55" i="45"/>
  <c r="A53" i="41"/>
  <c r="A52" i="45"/>
  <c r="A52" i="41"/>
  <c r="A52" i="49"/>
  <c r="A54" i="47"/>
  <c r="A56" i="45"/>
  <c r="A53" i="45"/>
  <c r="A52" i="47"/>
  <c r="A55" i="41"/>
  <c r="A55" i="38"/>
  <c r="D34" i="96"/>
  <c r="D29" i="96"/>
  <c r="D39" i="96"/>
  <c r="D38" i="96"/>
  <c r="D37" i="96"/>
  <c r="D36" i="96"/>
  <c r="D35" i="96"/>
  <c r="D33" i="96"/>
  <c r="D32" i="96"/>
  <c r="D31" i="96"/>
  <c r="D30" i="96"/>
  <c r="D28" i="96"/>
  <c r="D27" i="96"/>
  <c r="D26" i="96"/>
  <c r="D25" i="96"/>
  <c r="D24" i="96"/>
  <c r="D23" i="96"/>
  <c r="D22" i="96"/>
  <c r="D21" i="96"/>
  <c r="D20" i="96"/>
  <c r="D19" i="96"/>
  <c r="D18" i="96"/>
  <c r="D17" i="96"/>
  <c r="D16" i="96"/>
  <c r="D15" i="96"/>
  <c r="D14" i="96"/>
  <c r="D13" i="96"/>
  <c r="D12" i="96"/>
  <c r="A23" i="97" l="1"/>
  <c r="A22" i="97"/>
  <c r="A21" i="97"/>
  <c r="A20" i="97"/>
  <c r="A15" i="97"/>
  <c r="A19" i="97"/>
  <c r="A18" i="97"/>
  <c r="A17" i="97"/>
  <c r="A16" i="97"/>
  <c r="A11" i="97"/>
  <c r="C8" i="97"/>
  <c r="B8" i="97"/>
  <c r="P116" i="36" l="1"/>
  <c r="O116" i="36"/>
  <c r="N116" i="36"/>
  <c r="M116" i="36"/>
  <c r="L116" i="36"/>
  <c r="J116" i="36"/>
  <c r="I116" i="36"/>
  <c r="H116" i="36"/>
  <c r="G116" i="36"/>
  <c r="E116" i="36"/>
  <c r="D116" i="36"/>
  <c r="C116" i="36"/>
  <c r="B116" i="36"/>
  <c r="P76" i="36"/>
  <c r="O76" i="36"/>
  <c r="N76" i="36"/>
  <c r="M76" i="36"/>
  <c r="L76" i="36"/>
  <c r="J76" i="36"/>
  <c r="I76" i="36"/>
  <c r="H76" i="36"/>
  <c r="G76" i="36"/>
  <c r="E76" i="36"/>
  <c r="D76" i="36"/>
  <c r="C76" i="36"/>
  <c r="B76" i="36"/>
  <c r="P36" i="36"/>
  <c r="O36" i="36"/>
  <c r="N36" i="36"/>
  <c r="M36" i="36"/>
  <c r="L36" i="36"/>
  <c r="J36" i="36"/>
  <c r="I36" i="36"/>
  <c r="H36" i="36"/>
  <c r="G36" i="36"/>
  <c r="E36" i="36"/>
  <c r="D36" i="36"/>
  <c r="C36" i="36"/>
  <c r="B36" i="36"/>
  <c r="B36" i="76" l="1"/>
  <c r="E36" i="76"/>
  <c r="F15" i="76" s="1"/>
  <c r="D36" i="76"/>
  <c r="C36" i="76"/>
  <c r="F13" i="76" l="1"/>
  <c r="F14" i="76"/>
  <c r="F17" i="76"/>
  <c r="F16" i="76"/>
  <c r="F12" i="76"/>
  <c r="F19" i="76"/>
  <c r="F18" i="76"/>
  <c r="O116" i="13"/>
  <c r="N116" i="13"/>
  <c r="M116" i="13"/>
  <c r="L116" i="13"/>
  <c r="O116" i="24"/>
  <c r="N116" i="24"/>
  <c r="M116" i="24"/>
  <c r="L116" i="24"/>
  <c r="O116" i="10"/>
  <c r="N116" i="10"/>
  <c r="M116" i="10"/>
  <c r="L116" i="10"/>
  <c r="O116" i="64"/>
  <c r="N116" i="64"/>
  <c r="M116" i="64"/>
  <c r="L116" i="64"/>
  <c r="O116" i="15"/>
  <c r="N116" i="15"/>
  <c r="M116" i="15"/>
  <c r="L116" i="15"/>
  <c r="O116" i="17"/>
  <c r="N116" i="17"/>
  <c r="M116" i="17"/>
  <c r="L116" i="17"/>
  <c r="O116" i="22"/>
  <c r="N116" i="22"/>
  <c r="M116" i="22"/>
  <c r="L116" i="22"/>
  <c r="O116" i="28"/>
  <c r="N116" i="28"/>
  <c r="M116" i="28"/>
  <c r="L116" i="28"/>
  <c r="O116" i="32"/>
  <c r="N116" i="32"/>
  <c r="M116" i="32"/>
  <c r="L116" i="32"/>
  <c r="O76" i="13"/>
  <c r="N76" i="13"/>
  <c r="M76" i="13"/>
  <c r="L76" i="13"/>
  <c r="O76" i="24"/>
  <c r="N76" i="24"/>
  <c r="M76" i="24"/>
  <c r="L76" i="24"/>
  <c r="O76" i="10"/>
  <c r="N76" i="10"/>
  <c r="M76" i="10"/>
  <c r="L76" i="10"/>
  <c r="O76" i="64"/>
  <c r="N76" i="64"/>
  <c r="M76" i="64"/>
  <c r="L76" i="64"/>
  <c r="O76" i="15"/>
  <c r="N76" i="15"/>
  <c r="M76" i="15"/>
  <c r="L76" i="15"/>
  <c r="O76" i="17"/>
  <c r="N76" i="17"/>
  <c r="M76" i="17"/>
  <c r="L76" i="17"/>
  <c r="O76" i="22"/>
  <c r="N76" i="22"/>
  <c r="M76" i="22"/>
  <c r="L76" i="22"/>
  <c r="O76" i="28"/>
  <c r="N76" i="28"/>
  <c r="M76" i="28"/>
  <c r="L76" i="28"/>
  <c r="O76" i="32"/>
  <c r="N76" i="32"/>
  <c r="M76" i="32"/>
  <c r="L76" i="32"/>
  <c r="O36" i="13"/>
  <c r="N36" i="13"/>
  <c r="M36" i="13"/>
  <c r="L36" i="13"/>
  <c r="O36" i="24"/>
  <c r="N36" i="24"/>
  <c r="M36" i="24"/>
  <c r="L36" i="24"/>
  <c r="O36" i="10"/>
  <c r="N36" i="10"/>
  <c r="M36" i="10"/>
  <c r="L36" i="10"/>
  <c r="O36" i="64"/>
  <c r="N36" i="64"/>
  <c r="M36" i="64"/>
  <c r="L36" i="64"/>
  <c r="O36" i="15"/>
  <c r="N36" i="15"/>
  <c r="M36" i="15"/>
  <c r="L36" i="15"/>
  <c r="O36" i="17"/>
  <c r="N36" i="17"/>
  <c r="M36" i="17"/>
  <c r="L36" i="17"/>
  <c r="O36" i="22"/>
  <c r="N36" i="22"/>
  <c r="M36" i="22"/>
  <c r="L36" i="22"/>
  <c r="O36" i="28"/>
  <c r="L36" i="28"/>
  <c r="O36" i="32"/>
  <c r="N36" i="32"/>
  <c r="M36" i="32"/>
  <c r="L36" i="32"/>
  <c r="O36" i="5"/>
  <c r="N36" i="5"/>
  <c r="M36" i="5"/>
  <c r="L36" i="5"/>
  <c r="O36" i="6"/>
  <c r="N36" i="6"/>
  <c r="L36" i="6"/>
  <c r="O36" i="7"/>
  <c r="N36" i="7"/>
  <c r="M36" i="7"/>
  <c r="L36" i="7"/>
  <c r="O36" i="8"/>
  <c r="N36" i="8"/>
  <c r="M36" i="8"/>
  <c r="L36" i="8"/>
  <c r="O36" i="9"/>
  <c r="N36" i="9"/>
  <c r="M36" i="9"/>
  <c r="L36" i="9"/>
  <c r="O76" i="38"/>
  <c r="N76" i="38"/>
  <c r="M76" i="38"/>
  <c r="L76" i="38"/>
  <c r="O76" i="45"/>
  <c r="N76" i="45"/>
  <c r="M76" i="45"/>
  <c r="L76" i="45"/>
  <c r="O76" i="47"/>
  <c r="N76" i="47"/>
  <c r="M76" i="47"/>
  <c r="L76" i="47"/>
  <c r="O76" i="49"/>
  <c r="N76" i="49"/>
  <c r="M76" i="49"/>
  <c r="L76" i="49"/>
  <c r="O76" i="41"/>
  <c r="N76" i="41"/>
  <c r="M76" i="41"/>
  <c r="L76" i="41"/>
  <c r="O116" i="45"/>
  <c r="N116" i="45"/>
  <c r="M116" i="45"/>
  <c r="L116" i="45"/>
  <c r="O116" i="47"/>
  <c r="N116" i="47"/>
  <c r="M116" i="47"/>
  <c r="L116" i="47"/>
  <c r="O116" i="49"/>
  <c r="N116" i="49"/>
  <c r="M116" i="49"/>
  <c r="L116" i="49"/>
  <c r="O116" i="41"/>
  <c r="N116" i="41"/>
  <c r="M116" i="41"/>
  <c r="L116" i="41"/>
  <c r="O116" i="38"/>
  <c r="N116" i="38"/>
  <c r="M116" i="38"/>
  <c r="L116" i="38"/>
  <c r="O36" i="38"/>
  <c r="N36" i="38"/>
  <c r="M36" i="38"/>
  <c r="L36" i="38"/>
  <c r="O36" i="45"/>
  <c r="N36" i="45"/>
  <c r="M36" i="45"/>
  <c r="L36" i="45"/>
  <c r="O36" i="47"/>
  <c r="N36" i="47"/>
  <c r="M36" i="47"/>
  <c r="L36" i="47"/>
  <c r="O36" i="49"/>
  <c r="N36" i="49"/>
  <c r="M36" i="49"/>
  <c r="L36" i="49"/>
  <c r="O36" i="41"/>
  <c r="N36" i="41"/>
  <c r="M36" i="41"/>
  <c r="L36" i="41"/>
  <c r="P57" i="32" l="1"/>
  <c r="P53" i="32"/>
  <c r="P56" i="32"/>
  <c r="P52" i="32"/>
  <c r="P54" i="32"/>
  <c r="P55" i="32"/>
  <c r="P54" i="28"/>
  <c r="P57" i="28"/>
  <c r="P53" i="28"/>
  <c r="P56" i="28"/>
  <c r="P52" i="28"/>
  <c r="P55" i="28"/>
  <c r="P54" i="22"/>
  <c r="P53" i="22"/>
  <c r="P52" i="22"/>
  <c r="P55" i="22"/>
  <c r="P57" i="17"/>
  <c r="P53" i="17"/>
  <c r="P56" i="17"/>
  <c r="P52" i="17"/>
  <c r="P55" i="17"/>
  <c r="P54" i="17"/>
  <c r="P55" i="15"/>
  <c r="P54" i="15"/>
  <c r="P57" i="15"/>
  <c r="P53" i="15"/>
  <c r="P56" i="15"/>
  <c r="P52" i="15"/>
  <c r="P59" i="10"/>
  <c r="P55" i="10"/>
  <c r="P57" i="10"/>
  <c r="P64" i="10"/>
  <c r="P52" i="10"/>
  <c r="P58" i="10"/>
  <c r="P54" i="10"/>
  <c r="P53" i="10"/>
  <c r="P60" i="10"/>
  <c r="P56" i="10"/>
  <c r="P58" i="24"/>
  <c r="P54" i="24"/>
  <c r="P57" i="24"/>
  <c r="P53" i="24"/>
  <c r="P56" i="24"/>
  <c r="P52" i="24"/>
  <c r="P55" i="24"/>
  <c r="P55" i="13"/>
  <c r="P58" i="13"/>
  <c r="P54" i="13"/>
  <c r="P57" i="13"/>
  <c r="P53" i="13"/>
  <c r="P56" i="13"/>
  <c r="P52" i="13"/>
  <c r="F36" i="76"/>
  <c r="D36" i="24"/>
  <c r="C36" i="24"/>
  <c r="G36" i="24"/>
  <c r="I76" i="15"/>
  <c r="G76" i="15"/>
  <c r="B76" i="15"/>
  <c r="H76" i="24"/>
  <c r="C76" i="24"/>
  <c r="B76" i="24"/>
  <c r="I76" i="10"/>
  <c r="B76" i="10"/>
  <c r="B76" i="73"/>
  <c r="M36" i="6"/>
  <c r="B116" i="8"/>
  <c r="H36" i="32" l="1"/>
  <c r="H36" i="85"/>
  <c r="H116" i="9"/>
  <c r="D76" i="85"/>
  <c r="G76" i="85"/>
  <c r="B36" i="24"/>
  <c r="H76" i="81"/>
  <c r="C76" i="73"/>
  <c r="B76" i="68"/>
  <c r="I76" i="68"/>
  <c r="J36" i="24"/>
  <c r="H36" i="24"/>
  <c r="D36" i="85"/>
  <c r="I76" i="24"/>
  <c r="J76" i="5"/>
  <c r="I116" i="5"/>
  <c r="G116" i="8"/>
  <c r="I76" i="81"/>
  <c r="J76" i="83"/>
  <c r="J36" i="10"/>
  <c r="H36" i="68"/>
  <c r="I36" i="81"/>
  <c r="G76" i="5"/>
  <c r="H76" i="8"/>
  <c r="I76" i="8"/>
  <c r="I76" i="83"/>
  <c r="J76" i="24"/>
  <c r="J76" i="68"/>
  <c r="H36" i="83"/>
  <c r="I36" i="24"/>
  <c r="I36" i="32"/>
  <c r="B36" i="73"/>
  <c r="D36" i="68"/>
  <c r="E76" i="24"/>
  <c r="E36" i="73"/>
  <c r="D76" i="69"/>
  <c r="B76" i="83"/>
  <c r="B76" i="81"/>
  <c r="C76" i="68"/>
  <c r="E36" i="10"/>
  <c r="C36" i="73"/>
  <c r="D36" i="83"/>
  <c r="E76" i="81"/>
  <c r="D76" i="15"/>
  <c r="C76" i="5"/>
  <c r="D76" i="5"/>
  <c r="C116" i="5"/>
  <c r="E116" i="5"/>
  <c r="B116" i="5"/>
  <c r="E76" i="69"/>
  <c r="C76" i="83"/>
  <c r="B36" i="10"/>
  <c r="C36" i="10"/>
  <c r="H36" i="22"/>
  <c r="B76" i="22"/>
  <c r="I76" i="22"/>
  <c r="D36" i="22"/>
  <c r="D76" i="10"/>
  <c r="G76" i="10"/>
  <c r="G36" i="10"/>
  <c r="H36" i="10"/>
  <c r="D36" i="10"/>
  <c r="E76" i="10"/>
  <c r="H76" i="10"/>
  <c r="I36" i="10"/>
  <c r="C76" i="10"/>
  <c r="J76" i="10"/>
  <c r="E76" i="68"/>
  <c r="H76" i="68"/>
  <c r="G36" i="68"/>
  <c r="J36" i="68"/>
  <c r="C36" i="68"/>
  <c r="I36" i="68"/>
  <c r="D76" i="68"/>
  <c r="G76" i="68"/>
  <c r="B36" i="68"/>
  <c r="E36" i="68"/>
  <c r="E76" i="73"/>
  <c r="D76" i="73"/>
  <c r="D36" i="73"/>
  <c r="H36" i="81"/>
  <c r="D36" i="81"/>
  <c r="J76" i="81"/>
  <c r="C76" i="81"/>
  <c r="B36" i="81"/>
  <c r="E36" i="81"/>
  <c r="D76" i="81"/>
  <c r="G76" i="81"/>
  <c r="G36" i="81"/>
  <c r="J36" i="81"/>
  <c r="C36" i="81"/>
  <c r="E76" i="83"/>
  <c r="H76" i="83"/>
  <c r="B36" i="83"/>
  <c r="E36" i="83"/>
  <c r="G36" i="83"/>
  <c r="J36" i="83"/>
  <c r="C36" i="83"/>
  <c r="D76" i="83"/>
  <c r="G76" i="83"/>
  <c r="I36" i="83"/>
  <c r="C76" i="69"/>
  <c r="C36" i="69"/>
  <c r="D36" i="69"/>
  <c r="B76" i="69"/>
  <c r="B36" i="69"/>
  <c r="E36" i="69"/>
  <c r="E76" i="85"/>
  <c r="H76" i="85"/>
  <c r="B76" i="85"/>
  <c r="I76" i="85"/>
  <c r="I36" i="85"/>
  <c r="C76" i="85"/>
  <c r="J76" i="85"/>
  <c r="B36" i="85"/>
  <c r="E36" i="85"/>
  <c r="G36" i="85"/>
  <c r="J36" i="85"/>
  <c r="C36" i="85"/>
  <c r="H116" i="7"/>
  <c r="D116" i="7"/>
  <c r="C116" i="7"/>
  <c r="I116" i="7"/>
  <c r="J76" i="7"/>
  <c r="E76" i="7"/>
  <c r="B76" i="7"/>
  <c r="J116" i="9"/>
  <c r="G76" i="9"/>
  <c r="I116" i="9"/>
  <c r="E76" i="9"/>
  <c r="C76" i="9"/>
  <c r="D76" i="9"/>
  <c r="B116" i="9"/>
  <c r="J76" i="9"/>
  <c r="H76" i="9"/>
  <c r="I76" i="9"/>
  <c r="G116" i="9"/>
  <c r="B76" i="9"/>
  <c r="D116" i="9"/>
  <c r="C116" i="9"/>
  <c r="E116" i="9"/>
  <c r="C76" i="8"/>
  <c r="D76" i="8"/>
  <c r="B76" i="8"/>
  <c r="E76" i="8"/>
  <c r="D116" i="8"/>
  <c r="C116" i="8"/>
  <c r="E116" i="8"/>
  <c r="G76" i="8"/>
  <c r="J76" i="8"/>
  <c r="I116" i="8"/>
  <c r="H116" i="8"/>
  <c r="J116" i="8"/>
  <c r="C76" i="7"/>
  <c r="D76" i="7"/>
  <c r="E116" i="7"/>
  <c r="B116" i="7"/>
  <c r="H76" i="7"/>
  <c r="I76" i="7"/>
  <c r="J116" i="7"/>
  <c r="G116" i="7"/>
  <c r="G76" i="7"/>
  <c r="H76" i="5"/>
  <c r="I76" i="5"/>
  <c r="H116" i="5"/>
  <c r="J116" i="5"/>
  <c r="G116" i="5"/>
  <c r="B76" i="5"/>
  <c r="E76" i="5"/>
  <c r="D116" i="5"/>
  <c r="D36" i="32"/>
  <c r="B76" i="32"/>
  <c r="I76" i="32"/>
  <c r="D76" i="32"/>
  <c r="G76" i="32"/>
  <c r="E76" i="32"/>
  <c r="F54" i="32" s="1"/>
  <c r="H76" i="32"/>
  <c r="B36" i="32"/>
  <c r="E36" i="32"/>
  <c r="C76" i="32"/>
  <c r="J76" i="32"/>
  <c r="G36" i="32"/>
  <c r="J36" i="32"/>
  <c r="C36" i="32"/>
  <c r="C76" i="28"/>
  <c r="J76" i="28"/>
  <c r="G36" i="28"/>
  <c r="J36" i="28"/>
  <c r="C36" i="28"/>
  <c r="H36" i="28"/>
  <c r="D36" i="28"/>
  <c r="D76" i="28"/>
  <c r="G76" i="28"/>
  <c r="E76" i="28"/>
  <c r="H76" i="28"/>
  <c r="I36" i="28"/>
  <c r="B76" i="28"/>
  <c r="I76" i="28"/>
  <c r="B36" i="28"/>
  <c r="E36" i="28"/>
  <c r="G36" i="22"/>
  <c r="J36" i="22"/>
  <c r="C36" i="22"/>
  <c r="I36" i="22"/>
  <c r="E76" i="22"/>
  <c r="H76" i="22"/>
  <c r="C76" i="22"/>
  <c r="J76" i="22"/>
  <c r="D76" i="22"/>
  <c r="G76" i="22"/>
  <c r="B36" i="22"/>
  <c r="E36" i="22"/>
  <c r="G36" i="17"/>
  <c r="J36" i="17"/>
  <c r="C36" i="17"/>
  <c r="H36" i="17"/>
  <c r="D36" i="17"/>
  <c r="D76" i="17"/>
  <c r="G76" i="17"/>
  <c r="C76" i="17"/>
  <c r="J76" i="17"/>
  <c r="E76" i="17"/>
  <c r="H76" i="17"/>
  <c r="I36" i="17"/>
  <c r="B76" i="17"/>
  <c r="I76" i="17"/>
  <c r="B36" i="17"/>
  <c r="E36" i="17"/>
  <c r="B36" i="15"/>
  <c r="E36" i="15"/>
  <c r="C76" i="15"/>
  <c r="J76" i="15"/>
  <c r="G36" i="15"/>
  <c r="J36" i="15"/>
  <c r="C36" i="15"/>
  <c r="D36" i="15"/>
  <c r="H36" i="15"/>
  <c r="I36" i="15"/>
  <c r="E76" i="15"/>
  <c r="H76" i="15"/>
  <c r="D76" i="24"/>
  <c r="G76" i="24"/>
  <c r="E36" i="24"/>
  <c r="C76" i="13"/>
  <c r="J76" i="13"/>
  <c r="E36" i="13"/>
  <c r="J36" i="13"/>
  <c r="C36" i="13"/>
  <c r="B36" i="13"/>
  <c r="G76" i="13"/>
  <c r="E76" i="13"/>
  <c r="H76" i="13"/>
  <c r="G36" i="13"/>
  <c r="H36" i="13"/>
  <c r="D36" i="13"/>
  <c r="D76" i="13"/>
  <c r="B76" i="13"/>
  <c r="I76" i="13"/>
  <c r="I36" i="13"/>
  <c r="P76" i="13"/>
  <c r="P76" i="24"/>
  <c r="P76" i="10"/>
  <c r="P76" i="15"/>
  <c r="P76" i="17"/>
  <c r="P76" i="22"/>
  <c r="P76" i="32"/>
  <c r="P76" i="28"/>
  <c r="I76" i="6"/>
  <c r="H76" i="6"/>
  <c r="G76" i="6"/>
  <c r="J116" i="6"/>
  <c r="P16" i="45"/>
  <c r="P15" i="45"/>
  <c r="P14" i="45"/>
  <c r="P13" i="45"/>
  <c r="P12" i="45"/>
  <c r="P16" i="47"/>
  <c r="P15" i="47"/>
  <c r="P14" i="47"/>
  <c r="P13" i="47"/>
  <c r="P12" i="47"/>
  <c r="P16" i="49"/>
  <c r="P15" i="49"/>
  <c r="P14" i="49"/>
  <c r="P13" i="49"/>
  <c r="P12" i="49"/>
  <c r="P16" i="38"/>
  <c r="P15" i="38"/>
  <c r="P14" i="38"/>
  <c r="P13" i="38"/>
  <c r="P12" i="38"/>
  <c r="K55" i="24" l="1"/>
  <c r="K58" i="24"/>
  <c r="F55" i="81"/>
  <c r="K57" i="24"/>
  <c r="F54" i="81"/>
  <c r="K54" i="24"/>
  <c r="F58" i="69"/>
  <c r="F58" i="83"/>
  <c r="K53" i="24"/>
  <c r="K58" i="83"/>
  <c r="F52" i="73"/>
  <c r="F56" i="69"/>
  <c r="F92" i="8"/>
  <c r="F95" i="7"/>
  <c r="F58" i="7"/>
  <c r="F56" i="22"/>
  <c r="F93" i="8"/>
  <c r="F58" i="24"/>
  <c r="F56" i="15"/>
  <c r="F54" i="28"/>
  <c r="F57" i="69"/>
  <c r="K58" i="68"/>
  <c r="K54" i="13"/>
  <c r="K53" i="81"/>
  <c r="K57" i="28"/>
  <c r="K52" i="83"/>
  <c r="K94" i="7"/>
  <c r="K52" i="32"/>
  <c r="F52" i="69"/>
  <c r="F94" i="9"/>
  <c r="F52" i="8"/>
  <c r="F57" i="28"/>
  <c r="F93" i="9"/>
  <c r="F54" i="24"/>
  <c r="F54" i="15"/>
  <c r="F57" i="73"/>
  <c r="F53" i="69"/>
  <c r="K95" i="6"/>
  <c r="K54" i="9"/>
  <c r="K57" i="17"/>
  <c r="K56" i="28"/>
  <c r="K52" i="81"/>
  <c r="K92" i="7"/>
  <c r="F94" i="5"/>
  <c r="F53" i="28"/>
  <c r="F92" i="7"/>
  <c r="F52" i="15"/>
  <c r="F56" i="24"/>
  <c r="K58" i="13"/>
  <c r="K98" i="7"/>
  <c r="K54" i="32"/>
  <c r="K56" i="32"/>
  <c r="K57" i="9"/>
  <c r="K54" i="17"/>
  <c r="K53" i="28"/>
  <c r="K97" i="6"/>
  <c r="K55" i="81"/>
  <c r="K96" i="6"/>
  <c r="F56" i="73"/>
  <c r="F54" i="17"/>
  <c r="F52" i="5"/>
  <c r="F53" i="17"/>
  <c r="F55" i="22"/>
  <c r="K55" i="13"/>
  <c r="K53" i="9"/>
  <c r="K53" i="32"/>
  <c r="K53" i="17"/>
  <c r="K52" i="28"/>
  <c r="K92" i="6"/>
  <c r="K52" i="9"/>
  <c r="K55" i="32"/>
  <c r="K92" i="5"/>
  <c r="K53" i="10"/>
  <c r="K57" i="10"/>
  <c r="K59" i="10"/>
  <c r="K54" i="10"/>
  <c r="K55" i="10"/>
  <c r="K64" i="10"/>
  <c r="F52" i="32"/>
  <c r="F56" i="32"/>
  <c r="K52" i="15"/>
  <c r="K56" i="22"/>
  <c r="K52" i="85"/>
  <c r="K55" i="85"/>
  <c r="K53" i="15"/>
  <c r="K52" i="7"/>
  <c r="K56" i="68"/>
  <c r="K58" i="7"/>
  <c r="K94" i="9"/>
  <c r="K53" i="22"/>
  <c r="K58" i="85"/>
  <c r="K57" i="7"/>
  <c r="K55" i="83"/>
  <c r="K53" i="85"/>
  <c r="K92" i="8"/>
  <c r="K52" i="8"/>
  <c r="K54" i="68"/>
  <c r="K57" i="13"/>
  <c r="K53" i="13"/>
  <c r="K56" i="24"/>
  <c r="K52" i="24"/>
  <c r="K93" i="8"/>
  <c r="K55" i="7"/>
  <c r="K57" i="81"/>
  <c r="K61" i="10"/>
  <c r="K94" i="5"/>
  <c r="K55" i="15"/>
  <c r="K94" i="6"/>
  <c r="K54" i="7"/>
  <c r="K56" i="17"/>
  <c r="K52" i="17"/>
  <c r="K55" i="22"/>
  <c r="K55" i="28"/>
  <c r="K56" i="81"/>
  <c r="K56" i="83"/>
  <c r="K56" i="85"/>
  <c r="K95" i="9"/>
  <c r="K93" i="5"/>
  <c r="K54" i="5"/>
  <c r="K53" i="7"/>
  <c r="K53" i="83"/>
  <c r="K57" i="15"/>
  <c r="K57" i="68"/>
  <c r="K58" i="10"/>
  <c r="K52" i="10"/>
  <c r="K96" i="9"/>
  <c r="K97" i="7"/>
  <c r="K53" i="5"/>
  <c r="K52" i="68"/>
  <c r="K56" i="13"/>
  <c r="K52" i="13"/>
  <c r="K97" i="9"/>
  <c r="K57" i="32"/>
  <c r="K56" i="15"/>
  <c r="K60" i="10"/>
  <c r="K95" i="7"/>
  <c r="K57" i="83"/>
  <c r="K53" i="68"/>
  <c r="K93" i="7"/>
  <c r="K55" i="17"/>
  <c r="K54" i="22"/>
  <c r="K52" i="22"/>
  <c r="K54" i="28"/>
  <c r="K54" i="81"/>
  <c r="K54" i="83"/>
  <c r="K54" i="85"/>
  <c r="K93" i="9"/>
  <c r="K96" i="7"/>
  <c r="K56" i="9"/>
  <c r="K52" i="5"/>
  <c r="K53" i="8"/>
  <c r="K57" i="85"/>
  <c r="K54" i="15"/>
  <c r="K55" i="68"/>
  <c r="K56" i="10"/>
  <c r="K92" i="9"/>
  <c r="K55" i="9"/>
  <c r="K56" i="7"/>
  <c r="F53" i="85"/>
  <c r="F57" i="13"/>
  <c r="F57" i="68"/>
  <c r="F64" i="10"/>
  <c r="F60" i="10"/>
  <c r="F56" i="10"/>
  <c r="F52" i="10"/>
  <c r="F52" i="68"/>
  <c r="F54" i="85"/>
  <c r="F52" i="9"/>
  <c r="F58" i="68"/>
  <c r="F54" i="73"/>
  <c r="F55" i="32"/>
  <c r="F57" i="81"/>
  <c r="F57" i="83"/>
  <c r="F92" i="9"/>
  <c r="F92" i="5"/>
  <c r="F93" i="7"/>
  <c r="F57" i="9"/>
  <c r="F56" i="7"/>
  <c r="F52" i="17"/>
  <c r="F56" i="28"/>
  <c r="F52" i="81"/>
  <c r="F56" i="85"/>
  <c r="F56" i="9"/>
  <c r="F55" i="7"/>
  <c r="F55" i="13"/>
  <c r="F55" i="24"/>
  <c r="F57" i="15"/>
  <c r="F53" i="15"/>
  <c r="F55" i="68"/>
  <c r="F63" i="10"/>
  <c r="F59" i="10"/>
  <c r="F55" i="10"/>
  <c r="F52" i="22"/>
  <c r="F53" i="73"/>
  <c r="F96" i="7"/>
  <c r="F58" i="13"/>
  <c r="F52" i="24"/>
  <c r="F55" i="28"/>
  <c r="F55" i="73"/>
  <c r="F56" i="83"/>
  <c r="F55" i="69"/>
  <c r="F52" i="85"/>
  <c r="F54" i="5"/>
  <c r="F56" i="68"/>
  <c r="F55" i="83"/>
  <c r="F57" i="85"/>
  <c r="F55" i="9"/>
  <c r="F54" i="7"/>
  <c r="F57" i="17"/>
  <c r="F93" i="5"/>
  <c r="F53" i="8"/>
  <c r="F54" i="13"/>
  <c r="F53" i="68"/>
  <c r="F62" i="10"/>
  <c r="F58" i="10"/>
  <c r="F54" i="10"/>
  <c r="F58" i="85"/>
  <c r="F54" i="9"/>
  <c r="F56" i="13"/>
  <c r="F55" i="17"/>
  <c r="F54" i="83"/>
  <c r="F53" i="7"/>
  <c r="F57" i="24"/>
  <c r="F58" i="73"/>
  <c r="F57" i="32"/>
  <c r="F53" i="32"/>
  <c r="F53" i="81"/>
  <c r="F53" i="83"/>
  <c r="F54" i="69"/>
  <c r="F55" i="85"/>
  <c r="F96" i="9"/>
  <c r="F97" i="7"/>
  <c r="F53" i="9"/>
  <c r="F53" i="5"/>
  <c r="F52" i="7"/>
  <c r="F56" i="17"/>
  <c r="F53" i="22"/>
  <c r="F52" i="28"/>
  <c r="F56" i="81"/>
  <c r="F97" i="9"/>
  <c r="F98" i="7"/>
  <c r="F54" i="68"/>
  <c r="F52" i="13"/>
  <c r="F55" i="15"/>
  <c r="F61" i="10"/>
  <c r="F57" i="10"/>
  <c r="F53" i="10"/>
  <c r="F95" i="9"/>
  <c r="F57" i="7"/>
  <c r="F53" i="13"/>
  <c r="F54" i="22"/>
  <c r="F52" i="83"/>
  <c r="F94" i="7"/>
  <c r="F53" i="24"/>
  <c r="I36" i="49"/>
  <c r="C116" i="6"/>
  <c r="E116" i="6"/>
  <c r="B76" i="6"/>
  <c r="E76" i="6"/>
  <c r="C76" i="6"/>
  <c r="J76" i="6"/>
  <c r="B116" i="6"/>
  <c r="D76" i="6"/>
  <c r="G116" i="6"/>
  <c r="H116" i="6"/>
  <c r="I116" i="6"/>
  <c r="D116" i="6"/>
  <c r="G36" i="45"/>
  <c r="I36" i="47"/>
  <c r="C36" i="38"/>
  <c r="B36" i="49"/>
  <c r="B36" i="45"/>
  <c r="C36" i="45"/>
  <c r="D36" i="38"/>
  <c r="D36" i="47"/>
  <c r="H36" i="45"/>
  <c r="I36" i="38"/>
  <c r="B36" i="38"/>
  <c r="B36" i="47"/>
  <c r="G36" i="38"/>
  <c r="H36" i="38"/>
  <c r="E36" i="45"/>
  <c r="C36" i="47"/>
  <c r="D36" i="45"/>
  <c r="G36" i="47"/>
  <c r="J36" i="45"/>
  <c r="H36" i="47"/>
  <c r="I36" i="45"/>
  <c r="E36" i="47"/>
  <c r="E36" i="38"/>
  <c r="J36" i="47"/>
  <c r="J36" i="38"/>
  <c r="G36" i="49"/>
  <c r="D36" i="49"/>
  <c r="H36" i="49"/>
  <c r="E36" i="49"/>
  <c r="J36" i="49"/>
  <c r="C36" i="49"/>
  <c r="P36" i="47"/>
  <c r="P36" i="38"/>
  <c r="P36" i="49"/>
  <c r="P36" i="45"/>
  <c r="P14" i="41"/>
  <c r="P16" i="41"/>
  <c r="P15" i="41"/>
  <c r="P13" i="41"/>
  <c r="P12" i="41"/>
  <c r="K14" i="45" l="1"/>
  <c r="K15" i="38"/>
  <c r="K52" i="6"/>
  <c r="K56" i="6"/>
  <c r="K55" i="6"/>
  <c r="K54" i="6"/>
  <c r="K57" i="6"/>
  <c r="K12" i="49"/>
  <c r="K13" i="47"/>
  <c r="F54" i="6"/>
  <c r="F56" i="6"/>
  <c r="F52" i="6"/>
  <c r="F55" i="6"/>
  <c r="F57" i="6"/>
  <c r="F16" i="45"/>
  <c r="F15" i="49"/>
  <c r="F94" i="6"/>
  <c r="F95" i="6"/>
  <c r="F96" i="6"/>
  <c r="F97" i="6"/>
  <c r="F92" i="6"/>
  <c r="K13" i="49"/>
  <c r="K13" i="45"/>
  <c r="F15" i="45"/>
  <c r="F13" i="45"/>
  <c r="K14" i="49"/>
  <c r="G36" i="41"/>
  <c r="F14" i="45"/>
  <c r="F13" i="47"/>
  <c r="K16" i="45"/>
  <c r="K16" i="49"/>
  <c r="F12" i="49"/>
  <c r="F15" i="38"/>
  <c r="E36" i="41"/>
  <c r="D36" i="41"/>
  <c r="K16" i="47"/>
  <c r="F16" i="47"/>
  <c r="K12" i="45"/>
  <c r="F12" i="45"/>
  <c r="J36" i="41"/>
  <c r="I36" i="41"/>
  <c r="K14" i="47"/>
  <c r="F14" i="47"/>
  <c r="K15" i="47"/>
  <c r="F15" i="47"/>
  <c r="K13" i="38"/>
  <c r="F13" i="38"/>
  <c r="K12" i="38"/>
  <c r="F12" i="38"/>
  <c r="B36" i="41"/>
  <c r="C36" i="41"/>
  <c r="K16" i="38"/>
  <c r="K15" i="45"/>
  <c r="K12" i="47"/>
  <c r="F16" i="38"/>
  <c r="F12" i="47"/>
  <c r="H36" i="41"/>
  <c r="K14" i="38"/>
  <c r="F14" i="38"/>
  <c r="K15" i="49"/>
  <c r="F13" i="49"/>
  <c r="F16" i="49"/>
  <c r="F14" i="49"/>
  <c r="P36" i="41"/>
  <c r="K12" i="41" l="1"/>
  <c r="K16" i="41"/>
  <c r="F13" i="41"/>
  <c r="F16" i="41"/>
  <c r="F12" i="41"/>
  <c r="F14" i="41"/>
  <c r="K13" i="41"/>
  <c r="K15" i="41"/>
  <c r="K14" i="41"/>
  <c r="F15" i="41"/>
  <c r="K36" i="41" l="1"/>
  <c r="F36" i="41"/>
  <c r="P92" i="49" l="1"/>
  <c r="P93" i="49"/>
  <c r="P94" i="49"/>
  <c r="P95" i="49"/>
  <c r="P96" i="49"/>
  <c r="P92" i="47"/>
  <c r="P93" i="47"/>
  <c r="P94" i="47"/>
  <c r="P95" i="47"/>
  <c r="P96" i="47"/>
  <c r="P92" i="45"/>
  <c r="P93" i="45"/>
  <c r="P94" i="45"/>
  <c r="P95" i="45"/>
  <c r="P96" i="45"/>
  <c r="P92" i="38"/>
  <c r="P93" i="38"/>
  <c r="P94" i="38"/>
  <c r="P95" i="38"/>
  <c r="P96" i="38"/>
  <c r="P92" i="41"/>
  <c r="P93" i="41"/>
  <c r="P94" i="41"/>
  <c r="P95" i="41"/>
  <c r="P96" i="41"/>
  <c r="P92" i="32"/>
  <c r="P93" i="32"/>
  <c r="P94" i="32"/>
  <c r="P95" i="32"/>
  <c r="P96" i="32"/>
  <c r="P97" i="32"/>
  <c r="P92" i="28"/>
  <c r="P93" i="28"/>
  <c r="P94" i="28"/>
  <c r="P95" i="28"/>
  <c r="P96" i="28"/>
  <c r="P97" i="28"/>
  <c r="P92" i="24"/>
  <c r="P93" i="24"/>
  <c r="P94" i="24"/>
  <c r="P95" i="24"/>
  <c r="P96" i="24"/>
  <c r="P97" i="24"/>
  <c r="P98" i="24"/>
  <c r="P92" i="22"/>
  <c r="P95" i="22"/>
  <c r="P93" i="22"/>
  <c r="P94" i="22"/>
  <c r="P92" i="17"/>
  <c r="P93" i="17"/>
  <c r="P94" i="17"/>
  <c r="P95" i="17"/>
  <c r="P96" i="17"/>
  <c r="P97" i="17"/>
  <c r="P92" i="15"/>
  <c r="P93" i="15"/>
  <c r="P94" i="15"/>
  <c r="P95" i="15"/>
  <c r="P96" i="15"/>
  <c r="P97" i="15"/>
  <c r="P92" i="13"/>
  <c r="P93" i="13"/>
  <c r="P94" i="13"/>
  <c r="P95" i="13"/>
  <c r="P96" i="13"/>
  <c r="P97" i="13"/>
  <c r="P98" i="13"/>
  <c r="P92" i="64"/>
  <c r="P93" i="64"/>
  <c r="P94" i="64"/>
  <c r="P52" i="64"/>
  <c r="P53" i="64"/>
  <c r="P54" i="64"/>
  <c r="P92" i="10"/>
  <c r="P93" i="10"/>
  <c r="P94" i="10"/>
  <c r="P95" i="10"/>
  <c r="P96" i="10"/>
  <c r="P97" i="10"/>
  <c r="P98" i="10"/>
  <c r="P99" i="10"/>
  <c r="P100" i="10"/>
  <c r="P104" i="10"/>
  <c r="C116" i="76" l="1"/>
  <c r="B116" i="76"/>
  <c r="E116" i="76"/>
  <c r="D116" i="76"/>
  <c r="D116" i="10"/>
  <c r="H116" i="10"/>
  <c r="C116" i="10"/>
  <c r="I116" i="10"/>
  <c r="G116" i="10"/>
  <c r="B116" i="10"/>
  <c r="J116" i="10"/>
  <c r="E116" i="10"/>
  <c r="D116" i="68"/>
  <c r="H116" i="68"/>
  <c r="G116" i="68"/>
  <c r="J116" i="68"/>
  <c r="C116" i="68"/>
  <c r="B116" i="68"/>
  <c r="I116" i="68"/>
  <c r="E116" i="68"/>
  <c r="E116" i="73"/>
  <c r="C116" i="73"/>
  <c r="B116" i="73"/>
  <c r="D116" i="73"/>
  <c r="C116" i="81"/>
  <c r="H116" i="81"/>
  <c r="G116" i="81"/>
  <c r="J116" i="81"/>
  <c r="D116" i="81"/>
  <c r="B116" i="81"/>
  <c r="I116" i="81"/>
  <c r="E116" i="81"/>
  <c r="C116" i="83"/>
  <c r="B116" i="83"/>
  <c r="I116" i="83"/>
  <c r="E116" i="83"/>
  <c r="H116" i="83"/>
  <c r="G116" i="83"/>
  <c r="J116" i="83"/>
  <c r="D116" i="83"/>
  <c r="C116" i="69"/>
  <c r="B116" i="69"/>
  <c r="E116" i="69"/>
  <c r="D116" i="69"/>
  <c r="B116" i="85"/>
  <c r="H116" i="85"/>
  <c r="G116" i="85"/>
  <c r="C116" i="85"/>
  <c r="J116" i="85"/>
  <c r="D116" i="85"/>
  <c r="I116" i="85"/>
  <c r="E116" i="85"/>
  <c r="C116" i="32"/>
  <c r="B116" i="32"/>
  <c r="I116" i="32"/>
  <c r="E116" i="32"/>
  <c r="H116" i="32"/>
  <c r="G116" i="32"/>
  <c r="J116" i="32"/>
  <c r="D116" i="32"/>
  <c r="C116" i="28"/>
  <c r="H116" i="28"/>
  <c r="G116" i="28"/>
  <c r="J116" i="28"/>
  <c r="D116" i="28"/>
  <c r="B116" i="28"/>
  <c r="I116" i="28"/>
  <c r="E116" i="28"/>
  <c r="J116" i="22"/>
  <c r="D116" i="22"/>
  <c r="C116" i="22"/>
  <c r="B116" i="22"/>
  <c r="I116" i="22"/>
  <c r="E116" i="22"/>
  <c r="H116" i="22"/>
  <c r="G116" i="22"/>
  <c r="C116" i="17"/>
  <c r="B116" i="17"/>
  <c r="I116" i="17"/>
  <c r="E116" i="17"/>
  <c r="H116" i="17"/>
  <c r="G116" i="17"/>
  <c r="J116" i="17"/>
  <c r="D116" i="17"/>
  <c r="I116" i="15"/>
  <c r="E116" i="15"/>
  <c r="H116" i="15"/>
  <c r="G116" i="15"/>
  <c r="J116" i="15"/>
  <c r="D116" i="15"/>
  <c r="C116" i="15"/>
  <c r="B116" i="15"/>
  <c r="J76" i="64"/>
  <c r="D76" i="64"/>
  <c r="C116" i="64"/>
  <c r="B116" i="64"/>
  <c r="C76" i="64"/>
  <c r="B76" i="64"/>
  <c r="I116" i="64"/>
  <c r="E116" i="64"/>
  <c r="I76" i="64"/>
  <c r="E76" i="64"/>
  <c r="H116" i="64"/>
  <c r="G116" i="64"/>
  <c r="H76" i="64"/>
  <c r="G76" i="64"/>
  <c r="J116" i="64"/>
  <c r="D116" i="64"/>
  <c r="H116" i="24"/>
  <c r="G116" i="24"/>
  <c r="J116" i="24"/>
  <c r="D116" i="24"/>
  <c r="C116" i="24"/>
  <c r="B116" i="24"/>
  <c r="I116" i="24"/>
  <c r="E116" i="24"/>
  <c r="H116" i="13"/>
  <c r="G116" i="13"/>
  <c r="I116" i="13"/>
  <c r="E116" i="13"/>
  <c r="J116" i="13"/>
  <c r="D116" i="13"/>
  <c r="C116" i="13"/>
  <c r="B116" i="13"/>
  <c r="P116" i="22"/>
  <c r="P116" i="64"/>
  <c r="P116" i="32"/>
  <c r="P116" i="13"/>
  <c r="P116" i="15"/>
  <c r="P116" i="10"/>
  <c r="P116" i="17"/>
  <c r="P116" i="24"/>
  <c r="P116" i="28"/>
  <c r="P76" i="64"/>
  <c r="I116" i="45"/>
  <c r="C116" i="41"/>
  <c r="B116" i="41"/>
  <c r="I116" i="38"/>
  <c r="E116" i="38"/>
  <c r="H116" i="45"/>
  <c r="G116" i="45"/>
  <c r="J116" i="47"/>
  <c r="D116" i="47"/>
  <c r="D116" i="41"/>
  <c r="B116" i="38"/>
  <c r="E116" i="45"/>
  <c r="H116" i="47"/>
  <c r="G116" i="47"/>
  <c r="I116" i="41"/>
  <c r="E116" i="41"/>
  <c r="H116" i="38"/>
  <c r="G116" i="38"/>
  <c r="J116" i="45"/>
  <c r="D116" i="45"/>
  <c r="C116" i="47"/>
  <c r="B116" i="47"/>
  <c r="J116" i="41"/>
  <c r="C116" i="38"/>
  <c r="H116" i="41"/>
  <c r="G116" i="41"/>
  <c r="J116" i="38"/>
  <c r="D116" i="38"/>
  <c r="C116" i="45"/>
  <c r="B116" i="45"/>
  <c r="I116" i="47"/>
  <c r="E116" i="47"/>
  <c r="I116" i="49"/>
  <c r="E116" i="49"/>
  <c r="H116" i="49"/>
  <c r="G116" i="49"/>
  <c r="J116" i="49"/>
  <c r="D116" i="49"/>
  <c r="C116" i="49"/>
  <c r="B116" i="49"/>
  <c r="P116" i="41"/>
  <c r="P116" i="47"/>
  <c r="P116" i="38"/>
  <c r="P116" i="45"/>
  <c r="P116" i="49"/>
  <c r="F95" i="69" l="1"/>
  <c r="K92" i="64"/>
  <c r="F96" i="32"/>
  <c r="F95" i="17"/>
  <c r="F92" i="15"/>
  <c r="K92" i="38"/>
  <c r="K93" i="32"/>
  <c r="K95" i="24"/>
  <c r="K95" i="45"/>
  <c r="K94" i="13"/>
  <c r="K96" i="17"/>
  <c r="K93" i="28"/>
  <c r="K96" i="49"/>
  <c r="K94" i="22"/>
  <c r="F96" i="28"/>
  <c r="F92" i="47"/>
  <c r="F92" i="45"/>
  <c r="F93" i="38"/>
  <c r="F94" i="68"/>
  <c r="F93" i="22"/>
  <c r="F94" i="24"/>
  <c r="F94" i="13"/>
  <c r="F93" i="76"/>
  <c r="F99" i="76"/>
  <c r="F95" i="76"/>
  <c r="K96" i="41"/>
  <c r="F93" i="17"/>
  <c r="F95" i="85"/>
  <c r="F93" i="85"/>
  <c r="F98" i="85"/>
  <c r="F103" i="10"/>
  <c r="F96" i="10"/>
  <c r="F94" i="22"/>
  <c r="F95" i="10"/>
  <c r="F94" i="10"/>
  <c r="F98" i="73"/>
  <c r="F100" i="10"/>
  <c r="F104" i="10"/>
  <c r="F101" i="10"/>
  <c r="F98" i="10"/>
  <c r="F97" i="10"/>
  <c r="F102" i="10"/>
  <c r="F95" i="13"/>
  <c r="F92" i="10"/>
  <c r="F92" i="22"/>
  <c r="F93" i="10"/>
  <c r="F99" i="10"/>
  <c r="F94" i="73"/>
  <c r="F96" i="22"/>
  <c r="K99" i="10"/>
  <c r="F96" i="73"/>
  <c r="F92" i="76"/>
  <c r="K94" i="28"/>
  <c r="K92" i="22"/>
  <c r="K93" i="22"/>
  <c r="F95" i="22"/>
  <c r="F97" i="85"/>
  <c r="F94" i="85"/>
  <c r="F92" i="85"/>
  <c r="F97" i="73"/>
  <c r="K97" i="17"/>
  <c r="F92" i="73"/>
  <c r="F93" i="73"/>
  <c r="F95" i="32"/>
  <c r="K93" i="83"/>
  <c r="K92" i="28"/>
  <c r="F93" i="32"/>
  <c r="K95" i="28"/>
  <c r="F97" i="17"/>
  <c r="F94" i="17"/>
  <c r="K96" i="83"/>
  <c r="K94" i="83"/>
  <c r="K95" i="83"/>
  <c r="F96" i="17"/>
  <c r="F92" i="17"/>
  <c r="K92" i="83"/>
  <c r="K98" i="83"/>
  <c r="K97" i="83"/>
  <c r="F97" i="15"/>
  <c r="K97" i="32"/>
  <c r="K93" i="81"/>
  <c r="K92" i="81"/>
  <c r="K94" i="81"/>
  <c r="F95" i="28"/>
  <c r="K92" i="85"/>
  <c r="K97" i="81"/>
  <c r="F93" i="28"/>
  <c r="K95" i="15"/>
  <c r="K96" i="32"/>
  <c r="K94" i="17"/>
  <c r="F92" i="28"/>
  <c r="F93" i="15"/>
  <c r="K95" i="17"/>
  <c r="F94" i="32"/>
  <c r="F92" i="83"/>
  <c r="K93" i="85"/>
  <c r="K98" i="85"/>
  <c r="K95" i="85"/>
  <c r="K94" i="32"/>
  <c r="K97" i="28"/>
  <c r="K97" i="15"/>
  <c r="K93" i="17"/>
  <c r="F94" i="28"/>
  <c r="F92" i="32"/>
  <c r="F97" i="32"/>
  <c r="K96" i="81"/>
  <c r="K96" i="85"/>
  <c r="K94" i="85"/>
  <c r="K95" i="81"/>
  <c r="F97" i="28"/>
  <c r="K97" i="85"/>
  <c r="K96" i="28"/>
  <c r="K92" i="17"/>
  <c r="K94" i="15"/>
  <c r="K95" i="22"/>
  <c r="F96" i="83"/>
  <c r="F96" i="85"/>
  <c r="K96" i="15"/>
  <c r="K92" i="32"/>
  <c r="K93" i="15"/>
  <c r="F94" i="81"/>
  <c r="F92" i="81"/>
  <c r="K95" i="32"/>
  <c r="K96" i="22"/>
  <c r="K92" i="15"/>
  <c r="F95" i="73"/>
  <c r="F53" i="64"/>
  <c r="F54" i="64"/>
  <c r="F52" i="64"/>
  <c r="F94" i="64"/>
  <c r="F92" i="64"/>
  <c r="F93" i="64"/>
  <c r="F97" i="76"/>
  <c r="F96" i="76"/>
  <c r="F98" i="76"/>
  <c r="F94" i="76"/>
  <c r="F98" i="24"/>
  <c r="K93" i="41"/>
  <c r="F92" i="13"/>
  <c r="F93" i="13"/>
  <c r="F98" i="13"/>
  <c r="F93" i="47"/>
  <c r="K96" i="38"/>
  <c r="K95" i="41"/>
  <c r="K95" i="38"/>
  <c r="F97" i="13"/>
  <c r="K98" i="13"/>
  <c r="F96" i="49"/>
  <c r="F97" i="24"/>
  <c r="F93" i="49"/>
  <c r="F95" i="24"/>
  <c r="F96" i="24"/>
  <c r="F98" i="68"/>
  <c r="K92" i="68"/>
  <c r="F92" i="41"/>
  <c r="F96" i="45"/>
  <c r="K95" i="49"/>
  <c r="K96" i="13"/>
  <c r="F92" i="68"/>
  <c r="K97" i="13"/>
  <c r="F95" i="68"/>
  <c r="K95" i="13"/>
  <c r="F94" i="41"/>
  <c r="F93" i="41"/>
  <c r="F96" i="41"/>
  <c r="F93" i="45"/>
  <c r="F92" i="24"/>
  <c r="F96" i="13"/>
  <c r="F93" i="24"/>
  <c r="F97" i="68"/>
  <c r="F93" i="68"/>
  <c r="K92" i="13"/>
  <c r="F96" i="68"/>
  <c r="K93" i="13"/>
  <c r="K93" i="49"/>
  <c r="K94" i="49"/>
  <c r="F94" i="49"/>
  <c r="F95" i="49"/>
  <c r="K92" i="49"/>
  <c r="F92" i="49"/>
  <c r="K93" i="47"/>
  <c r="K94" i="47"/>
  <c r="K95" i="47"/>
  <c r="F94" i="47"/>
  <c r="F95" i="47"/>
  <c r="K92" i="47"/>
  <c r="F96" i="47"/>
  <c r="K96" i="47"/>
  <c r="K96" i="45"/>
  <c r="K93" i="45"/>
  <c r="K94" i="45"/>
  <c r="K92" i="45"/>
  <c r="F95" i="45"/>
  <c r="F94" i="45"/>
  <c r="F96" i="38"/>
  <c r="F94" i="38"/>
  <c r="F95" i="38"/>
  <c r="K93" i="38"/>
  <c r="K94" i="38"/>
  <c r="F92" i="38"/>
  <c r="K94" i="41"/>
  <c r="F95" i="41"/>
  <c r="K92" i="41"/>
  <c r="F94" i="69"/>
  <c r="F98" i="69"/>
  <c r="F93" i="69"/>
  <c r="F97" i="69"/>
  <c r="F92" i="69"/>
  <c r="F96" i="69"/>
  <c r="K93" i="68"/>
  <c r="K97" i="68"/>
  <c r="K96" i="68"/>
  <c r="K95" i="68"/>
  <c r="K94" i="68"/>
  <c r="K98" i="68"/>
  <c r="F95" i="83"/>
  <c r="F93" i="83"/>
  <c r="F97" i="83"/>
  <c r="F94" i="83"/>
  <c r="F98" i="83"/>
  <c r="F93" i="81"/>
  <c r="F97" i="81"/>
  <c r="F95" i="81"/>
  <c r="F96" i="81"/>
  <c r="K93" i="24"/>
  <c r="K97" i="24"/>
  <c r="K92" i="24"/>
  <c r="K94" i="24"/>
  <c r="K96" i="24"/>
  <c r="K98" i="24"/>
  <c r="F94" i="15"/>
  <c r="F95" i="15"/>
  <c r="F96" i="15"/>
  <c r="K93" i="64"/>
  <c r="K94" i="64"/>
  <c r="K53" i="64"/>
  <c r="K52" i="64"/>
  <c r="K54" i="64"/>
  <c r="K92" i="10"/>
  <c r="K96" i="10"/>
  <c r="K104" i="10"/>
  <c r="K94" i="10"/>
  <c r="K98" i="10"/>
  <c r="K93" i="10"/>
  <c r="K97" i="10"/>
  <c r="K101" i="10"/>
  <c r="K95" i="10"/>
  <c r="K100" i="10"/>
  <c r="F116" i="76" l="1"/>
  <c r="K116" i="32"/>
  <c r="K116" i="17"/>
  <c r="F116" i="15"/>
  <c r="K116" i="15"/>
  <c r="F116" i="64"/>
  <c r="K116" i="64"/>
  <c r="F76" i="64"/>
  <c r="F116" i="13"/>
  <c r="K116" i="13"/>
  <c r="F116" i="68"/>
  <c r="F116" i="81"/>
  <c r="F116" i="32"/>
  <c r="F116" i="83"/>
  <c r="F116" i="28"/>
  <c r="F116" i="22"/>
  <c r="K116" i="24"/>
  <c r="P116" i="68"/>
  <c r="F116" i="69"/>
  <c r="K116" i="68"/>
  <c r="P116" i="83"/>
  <c r="K116" i="81"/>
  <c r="K116" i="83"/>
  <c r="F116" i="85"/>
  <c r="F116" i="10"/>
  <c r="F116" i="73"/>
  <c r="K116" i="10"/>
  <c r="P116" i="81"/>
  <c r="F116" i="24"/>
  <c r="K116" i="85"/>
  <c r="F116" i="17"/>
  <c r="K116" i="28"/>
  <c r="P116" i="85"/>
  <c r="K116" i="22"/>
  <c r="K76" i="64"/>
  <c r="K116" i="45"/>
  <c r="K116" i="38"/>
  <c r="K116" i="41"/>
  <c r="K116" i="49"/>
  <c r="F116" i="47"/>
  <c r="F116" i="38"/>
  <c r="F116" i="45"/>
  <c r="K116" i="47"/>
  <c r="F116" i="41"/>
  <c r="F116" i="49"/>
  <c r="P76" i="68" l="1"/>
  <c r="P76" i="81"/>
  <c r="P76" i="83"/>
  <c r="P76" i="85"/>
  <c r="P56" i="41"/>
  <c r="P55" i="41"/>
  <c r="P54" i="41"/>
  <c r="P53" i="41"/>
  <c r="P52" i="41"/>
  <c r="P17" i="32"/>
  <c r="P16" i="32"/>
  <c r="P15" i="32"/>
  <c r="P14" i="32"/>
  <c r="P13" i="32"/>
  <c r="P12" i="32"/>
  <c r="P17" i="28"/>
  <c r="P16" i="28"/>
  <c r="P15" i="28"/>
  <c r="P14" i="28"/>
  <c r="P13" i="28"/>
  <c r="P12" i="28"/>
  <c r="P18" i="24"/>
  <c r="P17" i="24"/>
  <c r="P16" i="24"/>
  <c r="P15" i="24"/>
  <c r="P14" i="24"/>
  <c r="P13" i="24"/>
  <c r="P12" i="24"/>
  <c r="P36" i="24" l="1"/>
  <c r="P36" i="28"/>
  <c r="P36" i="32"/>
  <c r="P76" i="41"/>
  <c r="P36" i="85" l="1"/>
  <c r="P36" i="83"/>
  <c r="P36" i="81"/>
  <c r="K13" i="83" l="1"/>
  <c r="K18" i="85"/>
  <c r="F14" i="83"/>
  <c r="K15" i="81"/>
  <c r="K17" i="81"/>
  <c r="K13" i="81"/>
  <c r="K16" i="85"/>
  <c r="K14" i="85"/>
  <c r="K17" i="85"/>
  <c r="K14" i="81"/>
  <c r="K12" i="81"/>
  <c r="K16" i="81"/>
  <c r="K17" i="83"/>
  <c r="K16" i="83"/>
  <c r="K14" i="83"/>
  <c r="K15" i="83"/>
  <c r="K18" i="83"/>
  <c r="K12" i="83"/>
  <c r="K15" i="85"/>
  <c r="K12" i="85"/>
  <c r="K13" i="85"/>
  <c r="F18" i="83"/>
  <c r="F12" i="83"/>
  <c r="F13" i="83"/>
  <c r="F17" i="83"/>
  <c r="F15" i="83"/>
  <c r="F16" i="83"/>
  <c r="F12" i="81"/>
  <c r="F16" i="81"/>
  <c r="F16" i="85"/>
  <c r="F18" i="85"/>
  <c r="F14" i="85"/>
  <c r="F12" i="85"/>
  <c r="F15" i="85"/>
  <c r="F13" i="85"/>
  <c r="F17" i="85"/>
  <c r="F17" i="81"/>
  <c r="F13" i="81"/>
  <c r="F14" i="81"/>
  <c r="F15" i="81"/>
  <c r="F76" i="81" l="1"/>
  <c r="K76" i="81"/>
  <c r="F76" i="83"/>
  <c r="K76" i="83"/>
  <c r="K76" i="85"/>
  <c r="F76" i="85"/>
  <c r="F36" i="85"/>
  <c r="F36" i="81"/>
  <c r="K36" i="83"/>
  <c r="F36" i="83"/>
  <c r="K36" i="81"/>
  <c r="K36" i="85"/>
  <c r="B76" i="76" l="1"/>
  <c r="C76" i="76"/>
  <c r="E76" i="76"/>
  <c r="D76" i="76"/>
  <c r="F52" i="76" l="1"/>
  <c r="F53" i="76"/>
  <c r="F55" i="76"/>
  <c r="F54" i="76"/>
  <c r="F56" i="76"/>
  <c r="F59" i="76"/>
  <c r="F57" i="76"/>
  <c r="F58" i="76"/>
  <c r="F76" i="76" l="1"/>
  <c r="P36" i="68" l="1"/>
  <c r="F16" i="69" l="1"/>
  <c r="K12" i="68"/>
  <c r="K14" i="68"/>
  <c r="F15" i="68"/>
  <c r="F14" i="68"/>
  <c r="F12" i="68"/>
  <c r="F13" i="69"/>
  <c r="F16" i="68"/>
  <c r="F12" i="73"/>
  <c r="F18" i="73"/>
  <c r="K13" i="68"/>
  <c r="K18" i="68"/>
  <c r="K16" i="68"/>
  <c r="K17" i="68"/>
  <c r="K15" i="68"/>
  <c r="F17" i="68"/>
  <c r="F13" i="68"/>
  <c r="F18" i="69"/>
  <c r="F15" i="69"/>
  <c r="F14" i="69"/>
  <c r="F12" i="69"/>
  <c r="F17" i="69"/>
  <c r="F15" i="73"/>
  <c r="F17" i="73"/>
  <c r="F16" i="73"/>
  <c r="F14" i="73"/>
  <c r="F13" i="73"/>
  <c r="F18" i="68"/>
  <c r="K76" i="68" l="1"/>
  <c r="F76" i="68"/>
  <c r="F76" i="73"/>
  <c r="F76" i="69"/>
  <c r="F36" i="68"/>
  <c r="K36" i="68"/>
  <c r="F36" i="69"/>
  <c r="F36" i="73"/>
  <c r="P17" i="15"/>
  <c r="P16" i="15"/>
  <c r="P15" i="15"/>
  <c r="P14" i="15"/>
  <c r="P13" i="15"/>
  <c r="P12" i="15"/>
  <c r="P36" i="15" l="1"/>
  <c r="P17" i="9" l="1"/>
  <c r="P16" i="9"/>
  <c r="P15" i="9"/>
  <c r="P14" i="9"/>
  <c r="P13" i="9"/>
  <c r="P12" i="9"/>
  <c r="P13" i="8"/>
  <c r="P12" i="8"/>
  <c r="P18" i="7"/>
  <c r="P17" i="7"/>
  <c r="P16" i="7"/>
  <c r="P15" i="7"/>
  <c r="P14" i="7"/>
  <c r="P13" i="7"/>
  <c r="P12" i="7"/>
  <c r="P17" i="6"/>
  <c r="P16" i="6"/>
  <c r="P15" i="6"/>
  <c r="P14" i="6"/>
  <c r="P12" i="6"/>
  <c r="P14" i="5"/>
  <c r="P13" i="5"/>
  <c r="P12" i="5"/>
  <c r="P36" i="8" l="1"/>
  <c r="P36" i="7"/>
  <c r="P36" i="6"/>
  <c r="P36" i="9"/>
  <c r="P36" i="5"/>
  <c r="P14" i="64"/>
  <c r="P13" i="64"/>
  <c r="P12" i="64"/>
  <c r="I36" i="64"/>
  <c r="H36" i="64"/>
  <c r="G36" i="64"/>
  <c r="D36" i="64"/>
  <c r="C36" i="64"/>
  <c r="E36" i="64"/>
  <c r="B36" i="64"/>
  <c r="J36" i="64" l="1"/>
  <c r="P36" i="64"/>
  <c r="K14" i="64"/>
  <c r="F12" i="64"/>
  <c r="F13" i="64"/>
  <c r="F14" i="64"/>
  <c r="P24" i="10"/>
  <c r="P20" i="10"/>
  <c r="P19" i="10"/>
  <c r="P18" i="10"/>
  <c r="P17" i="10"/>
  <c r="P16" i="10"/>
  <c r="P15" i="10"/>
  <c r="P14" i="10"/>
  <c r="P13" i="10"/>
  <c r="P12" i="10"/>
  <c r="K13" i="64" l="1"/>
  <c r="K12" i="64"/>
  <c r="F36" i="64"/>
  <c r="P36" i="10"/>
  <c r="P14" i="22"/>
  <c r="P13" i="22"/>
  <c r="P15" i="22"/>
  <c r="P12" i="22"/>
  <c r="P17" i="17"/>
  <c r="P16" i="17"/>
  <c r="P15" i="17"/>
  <c r="P14" i="17"/>
  <c r="P13" i="17"/>
  <c r="P12" i="17"/>
  <c r="P18" i="13"/>
  <c r="P17" i="13"/>
  <c r="P16" i="13"/>
  <c r="P15" i="13"/>
  <c r="P14" i="13"/>
  <c r="P13" i="13"/>
  <c r="P12" i="13"/>
  <c r="K36" i="64" l="1"/>
  <c r="P36" i="13"/>
  <c r="P36" i="22"/>
  <c r="P36" i="17"/>
  <c r="K116" i="36" l="1"/>
  <c r="J36" i="8"/>
  <c r="K36" i="36"/>
  <c r="K76" i="36"/>
  <c r="H36" i="9"/>
  <c r="G36" i="9"/>
  <c r="J36" i="9"/>
  <c r="I36" i="9"/>
  <c r="H36" i="8"/>
  <c r="G36" i="8"/>
  <c r="I36" i="8"/>
  <c r="H36" i="7"/>
  <c r="G36" i="7"/>
  <c r="J36" i="7"/>
  <c r="I36" i="7"/>
  <c r="H36" i="5"/>
  <c r="G36" i="5"/>
  <c r="J36" i="5"/>
  <c r="I36" i="5"/>
  <c r="I76" i="38"/>
  <c r="J76" i="45"/>
  <c r="H76" i="38"/>
  <c r="G76" i="38"/>
  <c r="H76" i="47"/>
  <c r="G76" i="47"/>
  <c r="J76" i="41"/>
  <c r="I76" i="47"/>
  <c r="I76" i="41"/>
  <c r="J76" i="38"/>
  <c r="I76" i="45"/>
  <c r="J76" i="47"/>
  <c r="H76" i="41"/>
  <c r="G76" i="41"/>
  <c r="H76" i="45"/>
  <c r="G76" i="45"/>
  <c r="J76" i="49"/>
  <c r="I76" i="49"/>
  <c r="H76" i="49"/>
  <c r="G76" i="49"/>
  <c r="J36" i="6"/>
  <c r="H36" i="6"/>
  <c r="G36" i="6"/>
  <c r="I36" i="6"/>
  <c r="K76" i="9" l="1"/>
  <c r="K116" i="8"/>
  <c r="K76" i="24"/>
  <c r="K53" i="45"/>
  <c r="K52" i="38"/>
  <c r="K55" i="47"/>
  <c r="K53" i="49"/>
  <c r="K14" i="5"/>
  <c r="K56" i="41"/>
  <c r="K52" i="41"/>
  <c r="K55" i="41"/>
  <c r="K53" i="41"/>
  <c r="K54" i="41"/>
  <c r="K14" i="28"/>
  <c r="K18" i="10"/>
  <c r="K14" i="32"/>
  <c r="K16" i="32"/>
  <c r="K17" i="32"/>
  <c r="K12" i="32"/>
  <c r="K15" i="32"/>
  <c r="K13" i="32"/>
  <c r="K16" i="28"/>
  <c r="K13" i="28"/>
  <c r="K15" i="28"/>
  <c r="K12" i="28"/>
  <c r="K17" i="28"/>
  <c r="K17" i="24"/>
  <c r="K12" i="24"/>
  <c r="K14" i="24"/>
  <c r="K13" i="24"/>
  <c r="K16" i="24"/>
  <c r="K15" i="24"/>
  <c r="K18" i="24"/>
  <c r="K55" i="49"/>
  <c r="K54" i="49"/>
  <c r="K52" i="47"/>
  <c r="K56" i="47"/>
  <c r="K56" i="45"/>
  <c r="K13" i="5"/>
  <c r="K12" i="8"/>
  <c r="K12" i="5"/>
  <c r="K13" i="10"/>
  <c r="K13" i="15"/>
  <c r="K13" i="9"/>
  <c r="K21" i="10"/>
  <c r="K56" i="38"/>
  <c r="K54" i="38"/>
  <c r="K53" i="38"/>
  <c r="K14" i="15"/>
  <c r="K16" i="10"/>
  <c r="K18" i="7"/>
  <c r="K13" i="7"/>
  <c r="K15" i="22"/>
  <c r="K16" i="15"/>
  <c r="K15" i="10"/>
  <c r="K12" i="9"/>
  <c r="K12" i="7"/>
  <c r="K15" i="15"/>
  <c r="K15" i="9"/>
  <c r="K15" i="7"/>
  <c r="K14" i="22"/>
  <c r="K17" i="10"/>
  <c r="K14" i="9"/>
  <c r="K14" i="7"/>
  <c r="K17" i="15"/>
  <c r="K12" i="10"/>
  <c r="K20" i="10"/>
  <c r="K17" i="9"/>
  <c r="K17" i="7"/>
  <c r="K12" i="22"/>
  <c r="K12" i="15"/>
  <c r="K19" i="10"/>
  <c r="K16" i="9"/>
  <c r="K16" i="7"/>
  <c r="K14" i="10"/>
  <c r="K24" i="10"/>
  <c r="K13" i="8"/>
  <c r="K16" i="17"/>
  <c r="K12" i="17"/>
  <c r="K15" i="17"/>
  <c r="K14" i="17"/>
  <c r="K13" i="17"/>
  <c r="K55" i="38"/>
  <c r="K16" i="22"/>
  <c r="K18" i="13"/>
  <c r="K16" i="13"/>
  <c r="K52" i="49"/>
  <c r="K56" i="49"/>
  <c r="K13" i="13"/>
  <c r="K55" i="45"/>
  <c r="K54" i="45"/>
  <c r="K52" i="45"/>
  <c r="K54" i="47"/>
  <c r="K53" i="47"/>
  <c r="K17" i="13"/>
  <c r="K17" i="17"/>
  <c r="K14" i="13"/>
  <c r="K15" i="13"/>
  <c r="K12" i="13"/>
  <c r="K13" i="22"/>
  <c r="K76" i="10" l="1"/>
  <c r="K116" i="7"/>
  <c r="K116" i="9"/>
  <c r="K36" i="8"/>
  <c r="K76" i="8"/>
  <c r="K76" i="7"/>
  <c r="K116" i="5"/>
  <c r="K76" i="5"/>
  <c r="K76" i="32"/>
  <c r="K76" i="28"/>
  <c r="K76" i="22"/>
  <c r="K36" i="22"/>
  <c r="K76" i="17"/>
  <c r="K76" i="15"/>
  <c r="K76" i="13"/>
  <c r="K36" i="9"/>
  <c r="K36" i="13"/>
  <c r="K36" i="10"/>
  <c r="K36" i="5"/>
  <c r="K36" i="32"/>
  <c r="K36" i="17"/>
  <c r="K36" i="15"/>
  <c r="K36" i="7"/>
  <c r="K36" i="28"/>
  <c r="K36" i="24"/>
  <c r="K76" i="45"/>
  <c r="K76" i="47"/>
  <c r="K76" i="49"/>
  <c r="K76" i="38"/>
  <c r="K76" i="41"/>
  <c r="K36" i="45"/>
  <c r="K36" i="49"/>
  <c r="K36" i="47"/>
  <c r="K36" i="38"/>
  <c r="K12" i="6"/>
  <c r="K15" i="6"/>
  <c r="K14" i="6"/>
  <c r="K16" i="6"/>
  <c r="K17" i="6"/>
  <c r="K76" i="6" l="1"/>
  <c r="K36" i="6"/>
  <c r="K116" i="6"/>
  <c r="P56" i="45" l="1"/>
  <c r="P55" i="45"/>
  <c r="P54" i="45"/>
  <c r="P53" i="45"/>
  <c r="P52" i="45"/>
  <c r="P56" i="47"/>
  <c r="P55" i="47"/>
  <c r="P54" i="47"/>
  <c r="P53" i="47"/>
  <c r="P52" i="47"/>
  <c r="P56" i="49"/>
  <c r="P55" i="49"/>
  <c r="P54" i="49"/>
  <c r="P53" i="49"/>
  <c r="P52" i="49"/>
  <c r="P56" i="38"/>
  <c r="P55" i="38"/>
  <c r="P54" i="38"/>
  <c r="P53" i="38"/>
  <c r="P52" i="38"/>
  <c r="C36" i="7" l="1"/>
  <c r="C36" i="9"/>
  <c r="C36" i="5"/>
  <c r="E36" i="8"/>
  <c r="B36" i="5"/>
  <c r="D36" i="5"/>
  <c r="B36" i="8"/>
  <c r="D36" i="8"/>
  <c r="F36" i="36"/>
  <c r="F116" i="36"/>
  <c r="F76" i="36"/>
  <c r="B36" i="7"/>
  <c r="D36" i="7"/>
  <c r="E36" i="7"/>
  <c r="B36" i="9"/>
  <c r="D36" i="9"/>
  <c r="E36" i="9"/>
  <c r="C36" i="8"/>
  <c r="E36" i="5"/>
  <c r="B76" i="49"/>
  <c r="D76" i="49"/>
  <c r="C76" i="47"/>
  <c r="E76" i="45"/>
  <c r="B76" i="41"/>
  <c r="D76" i="41"/>
  <c r="P76" i="45"/>
  <c r="D76" i="47"/>
  <c r="C76" i="45"/>
  <c r="E76" i="38"/>
  <c r="B76" i="47"/>
  <c r="B76" i="45"/>
  <c r="D76" i="45"/>
  <c r="C76" i="38"/>
  <c r="E76" i="41"/>
  <c r="E76" i="47"/>
  <c r="B76" i="38"/>
  <c r="D76" i="38"/>
  <c r="C76" i="41"/>
  <c r="E76" i="49"/>
  <c r="C76" i="49"/>
  <c r="P76" i="38"/>
  <c r="P76" i="49"/>
  <c r="P76" i="47"/>
  <c r="E36" i="6"/>
  <c r="B36" i="6"/>
  <c r="D36" i="6"/>
  <c r="C36" i="6"/>
  <c r="F76" i="5" l="1"/>
  <c r="F116" i="5"/>
  <c r="F76" i="8"/>
  <c r="F116" i="8"/>
  <c r="F76" i="15"/>
  <c r="F76" i="24"/>
  <c r="F21" i="10"/>
  <c r="F17" i="32"/>
  <c r="F53" i="41"/>
  <c r="F13" i="28"/>
  <c r="F15" i="28"/>
  <c r="F56" i="41"/>
  <c r="F52" i="41"/>
  <c r="F55" i="41"/>
  <c r="F54" i="41"/>
  <c r="F12" i="32"/>
  <c r="F14" i="32"/>
  <c r="F13" i="32"/>
  <c r="F15" i="32"/>
  <c r="F16" i="32"/>
  <c r="F14" i="28"/>
  <c r="F17" i="28"/>
  <c r="F16" i="28"/>
  <c r="F12" i="28"/>
  <c r="F18" i="24"/>
  <c r="F13" i="24"/>
  <c r="F14" i="24"/>
  <c r="F12" i="24"/>
  <c r="F15" i="24"/>
  <c r="F17" i="24"/>
  <c r="F16" i="24"/>
  <c r="F14" i="15"/>
  <c r="F13" i="15"/>
  <c r="F53" i="45"/>
  <c r="F55" i="49"/>
  <c r="F15" i="15"/>
  <c r="F55" i="38"/>
  <c r="F53" i="47"/>
  <c r="F16" i="15"/>
  <c r="F17" i="15"/>
  <c r="F12" i="15"/>
  <c r="F18" i="7"/>
  <c r="F23" i="10"/>
  <c r="F15" i="7"/>
  <c r="F18" i="10"/>
  <c r="F20" i="10"/>
  <c r="F12" i="7"/>
  <c r="F17" i="17"/>
  <c r="F17" i="13"/>
  <c r="F14" i="13"/>
  <c r="F13" i="8"/>
  <c r="F15" i="10"/>
  <c r="F13" i="7"/>
  <c r="F19" i="10"/>
  <c r="F14" i="7"/>
  <c r="F13" i="10"/>
  <c r="F12" i="9"/>
  <c r="F16" i="9"/>
  <c r="F14" i="17"/>
  <c r="F15" i="9"/>
  <c r="F14" i="5"/>
  <c r="F12" i="8"/>
  <c r="F14" i="10"/>
  <c r="F17" i="9"/>
  <c r="F12" i="5"/>
  <c r="F17" i="7"/>
  <c r="F17" i="10"/>
  <c r="F12" i="10"/>
  <c r="F24" i="10"/>
  <c r="F14" i="9"/>
  <c r="F13" i="5"/>
  <c r="F22" i="10"/>
  <c r="F16" i="7"/>
  <c r="F13" i="9"/>
  <c r="F16" i="10"/>
  <c r="F12" i="22"/>
  <c r="F13" i="13"/>
  <c r="F16" i="13"/>
  <c r="F13" i="17"/>
  <c r="F16" i="17"/>
  <c r="F16" i="22"/>
  <c r="F12" i="13"/>
  <c r="F15" i="13"/>
  <c r="F12" i="17"/>
  <c r="F13" i="22"/>
  <c r="F15" i="22"/>
  <c r="F14" i="22"/>
  <c r="F18" i="13"/>
  <c r="F15" i="17"/>
  <c r="F52" i="38"/>
  <c r="F55" i="47"/>
  <c r="F54" i="47"/>
  <c r="F56" i="47"/>
  <c r="F52" i="47"/>
  <c r="F53" i="38"/>
  <c r="F54" i="38"/>
  <c r="F56" i="38"/>
  <c r="F52" i="45"/>
  <c r="F56" i="45"/>
  <c r="F55" i="45"/>
  <c r="F54" i="45"/>
  <c r="F53" i="49"/>
  <c r="F52" i="49"/>
  <c r="F56" i="49"/>
  <c r="F54" i="49"/>
  <c r="F76" i="10" l="1"/>
  <c r="F36" i="7"/>
  <c r="F36" i="9"/>
  <c r="F76" i="9"/>
  <c r="F116" i="9"/>
  <c r="F76" i="7"/>
  <c r="F116" i="7"/>
  <c r="F76" i="32"/>
  <c r="F76" i="28"/>
  <c r="F76" i="22"/>
  <c r="F76" i="17"/>
  <c r="F76" i="13"/>
  <c r="F36" i="15"/>
  <c r="F36" i="17"/>
  <c r="F36" i="22"/>
  <c r="F36" i="10"/>
  <c r="F36" i="24"/>
  <c r="F36" i="28"/>
  <c r="F36" i="13"/>
  <c r="F36" i="8"/>
  <c r="F36" i="5"/>
  <c r="F36" i="32"/>
  <c r="F76" i="41"/>
  <c r="F76" i="38"/>
  <c r="F76" i="49"/>
  <c r="F76" i="45"/>
  <c r="F76" i="47"/>
  <c r="F36" i="38"/>
  <c r="F36" i="49"/>
  <c r="F36" i="45"/>
  <c r="F36" i="47"/>
  <c r="F15" i="6"/>
  <c r="F12" i="6"/>
  <c r="F17" i="6"/>
  <c r="F14" i="6"/>
  <c r="F16" i="6"/>
  <c r="F116" i="6" l="1"/>
  <c r="F76" i="6"/>
  <c r="F36" i="6"/>
  <c r="N36" i="28" l="1"/>
  <c r="M36" i="28"/>
</calcChain>
</file>

<file path=xl/sharedStrings.xml><?xml version="1.0" encoding="utf-8"?>
<sst xmlns="http://schemas.openxmlformats.org/spreadsheetml/2006/main" count="917" uniqueCount="611">
  <si>
    <t>Rentneranteil</t>
  </si>
  <si>
    <t>Bilanzsumme</t>
  </si>
  <si>
    <t>Total</t>
  </si>
  <si>
    <t>Spareinrichtung</t>
  </si>
  <si>
    <t>EVK 1990</t>
  </si>
  <si>
    <t>EVK 2000</t>
  </si>
  <si>
    <t>BVG 2000</t>
  </si>
  <si>
    <t>BVG 2005</t>
  </si>
  <si>
    <t>BVG 2010</t>
  </si>
  <si>
    <t>VZ 1990</t>
  </si>
  <si>
    <t>VZ 2000</t>
  </si>
  <si>
    <t>VZ 2005</t>
  </si>
  <si>
    <t>VZ 2010</t>
  </si>
  <si>
    <t>Andere</t>
  </si>
  <si>
    <t>Rentnerkasse</t>
  </si>
  <si>
    <t>Beitragsprimat</t>
  </si>
  <si>
    <t>Leistungsprimat</t>
  </si>
  <si>
    <t>Mischform</t>
  </si>
  <si>
    <t>Liquidität</t>
  </si>
  <si>
    <t>Forderungen</t>
  </si>
  <si>
    <t>Immobilien</t>
  </si>
  <si>
    <t>Aktien</t>
  </si>
  <si>
    <t>Alternative Anlagen</t>
  </si>
  <si>
    <t>Versandte Fragebogen</t>
  </si>
  <si>
    <t>Eingereichte Fragebogen</t>
  </si>
  <si>
    <t>davon in Liquidation</t>
  </si>
  <si>
    <t>davon nicht dem Freizügigkeitsgesetz unterstellt</t>
  </si>
  <si>
    <t>Verwendete Fragebogen</t>
  </si>
  <si>
    <t>Rechtsform</t>
  </si>
  <si>
    <t>Anzahl VE</t>
  </si>
  <si>
    <t>Privatrechtliche Stiftung</t>
  </si>
  <si>
    <t>Privatrechtliche Genossenschaft</t>
  </si>
  <si>
    <t>Einrichtung öffentlichen Rechts</t>
  </si>
  <si>
    <t>Privatrechtlicher Arbeitgeber</t>
  </si>
  <si>
    <t>Autonom ohne Rückversicherung</t>
  </si>
  <si>
    <t>Autonom mit Excess-of-Loss-Versicherung</t>
  </si>
  <si>
    <t>Autonom mit Stop-Loss-Versicherung</t>
  </si>
  <si>
    <t>Teilautonom: Altersrenten durch VE sichergestellt</t>
  </si>
  <si>
    <t>Teilautonom: Kauf individueller Altersrenten bei einer Versicherung</t>
  </si>
  <si>
    <t>Vollversicherung (Kollektiv)</t>
  </si>
  <si>
    <t>Obligatorische Leistungen (inkl. umhüllende VE)</t>
  </si>
  <si>
    <t>Nur überobligatorische Leistungen</t>
  </si>
  <si>
    <t>Verwaltungsform</t>
  </si>
  <si>
    <t>Vorsorgeeinrichtung eines Arbeitgebers</t>
  </si>
  <si>
    <t>Vorsorgeeinrichtung eines Konzerns</t>
  </si>
  <si>
    <t>Anderer Zusammenschluss mehrerer Arbeitgeber</t>
  </si>
  <si>
    <t>Gemeinschaftseinrichtung</t>
  </si>
  <si>
    <t>Sammeleinrichtung</t>
  </si>
  <si>
    <t>Sammel-/Gemeinschaftseinrichtung öffentlich-rechtl. Arbeitgeber</t>
  </si>
  <si>
    <t>Biometrische Grundlagen</t>
  </si>
  <si>
    <t>Periodentafel</t>
  </si>
  <si>
    <t>Generationentafel</t>
  </si>
  <si>
    <t>Technischer Zins</t>
  </si>
  <si>
    <t>Versicherung / nur Kapitalien</t>
  </si>
  <si>
    <t>Erhöhung Deckungsgrad um</t>
  </si>
  <si>
    <t>Risikostufe</t>
  </si>
  <si>
    <t>2 – eher klein</t>
  </si>
  <si>
    <t>4 – eher hoch</t>
  </si>
  <si>
    <t>Anzahl aktive Versicherte</t>
  </si>
  <si>
    <t>Anzahl Versicherte</t>
  </si>
  <si>
    <t>Anzahl Rentner</t>
  </si>
  <si>
    <t>Anteil Bilanzsumme</t>
  </si>
  <si>
    <t>alle Vorsorgeeinrichtungen</t>
  </si>
  <si>
    <t>Vorsorgeeinrichtungen mit Staatsgarantie</t>
  </si>
  <si>
    <t>Vorsorgeeinrichtungen ohne Staatsgarantie</t>
  </si>
  <si>
    <t>Keine (Versicherungsvertrag)</t>
  </si>
  <si>
    <t>Keine (temporäre Leistungen)</t>
  </si>
  <si>
    <t>Keine</t>
  </si>
  <si>
    <t>Versicherte Lohnsumme</t>
  </si>
  <si>
    <t>Basislohnsumme</t>
  </si>
  <si>
    <t>Rentensumme</t>
  </si>
  <si>
    <t>Arbeitgeberbeitragsreserven ohne Verwendungsverzicht</t>
  </si>
  <si>
    <t>Arbeitgeberbeitragsreserven mit Verwendungsverzicht</t>
  </si>
  <si>
    <t>BVG-Altersguthaben</t>
  </si>
  <si>
    <t>Vorsorgekapital aktive Versicherte</t>
  </si>
  <si>
    <t>Vorsorgekapital Rentner</t>
  </si>
  <si>
    <t>Technische Rückstellungen</t>
  </si>
  <si>
    <t>Reglementarische Beiträge</t>
  </si>
  <si>
    <t>Andere Beiträge</t>
  </si>
  <si>
    <t>Anzahl Vorsorgeeinrichtungen</t>
  </si>
  <si>
    <t>Anteil Generationentafeln</t>
  </si>
  <si>
    <t>Anteil Unterdeckungen</t>
  </si>
  <si>
    <t>Anteil Leistungsprimat</t>
  </si>
  <si>
    <t>Anteil registrierte Vorsorgeeinrichtungen</t>
  </si>
  <si>
    <t>Anteil BVG-Altersguthaben an Vorsorgekapital Aktive</t>
  </si>
  <si>
    <t>Anteil Sachwerte an Anlagen</t>
  </si>
  <si>
    <t>ø Technischer Zinssatz</t>
  </si>
  <si>
    <t>ø Deckungsgrad mit individuellen Grundlagen</t>
  </si>
  <si>
    <t>ø Deckungsgrad mit einheitlichen Grundlagen</t>
  </si>
  <si>
    <t>ø Verzinsung Altersguthaben (Beitragsprimat)</t>
  </si>
  <si>
    <t>ø geplanter Umwandlungssatz (in 5 Jahren, im Alter 65, Beitragsprimat)</t>
  </si>
  <si>
    <t>ø Auswirkung von Sanierungsbeiträgen</t>
  </si>
  <si>
    <t>ø Auswirkung von Minderverzinsungen</t>
  </si>
  <si>
    <t>ø Nettorendite auf Anlagen</t>
  </si>
  <si>
    <t>ø erwartete Volatilität</t>
  </si>
  <si>
    <t>nicht definiert</t>
  </si>
  <si>
    <t>exakt 0%</t>
  </si>
  <si>
    <t>exakt 100%</t>
  </si>
  <si>
    <t>unter 0.00%</t>
  </si>
  <si>
    <t>exakt 1.50%</t>
  </si>
  <si>
    <t>exakt 1.75%</t>
  </si>
  <si>
    <t>exakt 0.00%</t>
  </si>
  <si>
    <t>Aufteilung Anlagestrategie</t>
  </si>
  <si>
    <t>Wohnimmobilien Schweiz Direktanlagen</t>
  </si>
  <si>
    <t>Geschäftsimmobilien Schweiz Direktanlagen</t>
  </si>
  <si>
    <t xml:space="preserve">Immobilienfonds Schweiz </t>
  </si>
  <si>
    <t>Immobilien Ausland</t>
  </si>
  <si>
    <t>Aktien Schweiz</t>
  </si>
  <si>
    <t>Aktien Industrieländer</t>
  </si>
  <si>
    <t>Aktien Emerging Markets</t>
  </si>
  <si>
    <t>Hedge Funds</t>
  </si>
  <si>
    <t>Private Equity</t>
  </si>
  <si>
    <t>Infrastrukturanlagen</t>
  </si>
  <si>
    <t>Alternative Forderungen</t>
  </si>
  <si>
    <t>Andere alternative Anlagen</t>
  </si>
  <si>
    <t>VE ohne Staatsgarantie</t>
  </si>
  <si>
    <t>VE mit Staatsgarantie</t>
  </si>
  <si>
    <t>Keine (Kapitalleistungen)</t>
  </si>
  <si>
    <t>unverändert</t>
  </si>
  <si>
    <t>unter 1%</t>
  </si>
  <si>
    <t>1 – klein</t>
  </si>
  <si>
    <t>3 – mittel</t>
  </si>
  <si>
    <t>5 – hoch</t>
  </si>
  <si>
    <t>2.50% – 2.99%</t>
  </si>
  <si>
    <t>3.00% – 3.49%</t>
  </si>
  <si>
    <t>3.50% – 3.99%</t>
  </si>
  <si>
    <t>4.00% – 4.49%</t>
  </si>
  <si>
    <t>80.0% – 89.9%</t>
  </si>
  <si>
    <t>90.0% – 99.9%</t>
  </si>
  <si>
    <t>100.0% – 109.9%</t>
  </si>
  <si>
    <t>110.0% – 119.9%</t>
  </si>
  <si>
    <t>0.00% – 0.19%</t>
  </si>
  <si>
    <t>0.20% – 0.39%</t>
  </si>
  <si>
    <t>0.40% – 0.59%</t>
  </si>
  <si>
    <t>0.60% – 0.79%</t>
  </si>
  <si>
    <t>0.80% – 0.99%</t>
  </si>
  <si>
    <t>Anlageperformance</t>
  </si>
  <si>
    <t>0% – 5%</t>
  </si>
  <si>
    <t>5% – 10%</t>
  </si>
  <si>
    <t>10% – 15%</t>
  </si>
  <si>
    <t>15% – 20%</t>
  </si>
  <si>
    <t>20% – 25%</t>
  </si>
  <si>
    <t>25% – 30%</t>
  </si>
  <si>
    <t>30% – 35%</t>
  </si>
  <si>
    <t>35% – 40%</t>
  </si>
  <si>
    <t>40% – 45%</t>
  </si>
  <si>
    <t>45% – 50%</t>
  </si>
  <si>
    <t>50% – 55%</t>
  </si>
  <si>
    <t>55% – 60%</t>
  </si>
  <si>
    <t>60% – 65%</t>
  </si>
  <si>
    <t>65% – 70%</t>
  </si>
  <si>
    <t>70% – 75%</t>
  </si>
  <si>
    <t>75% – 80%</t>
  </si>
  <si>
    <t>80% – 85%</t>
  </si>
  <si>
    <t>85% – 90%</t>
  </si>
  <si>
    <t>90% – 95%</t>
  </si>
  <si>
    <t>95% – 100%</t>
  </si>
  <si>
    <t>Arbeitgeber und Garantieform</t>
  </si>
  <si>
    <t>Versicherungsdeckung</t>
  </si>
  <si>
    <t>ø Fremdwährungsexposure</t>
  </si>
  <si>
    <t>ø Ziel-Wertschwankungsreserven</t>
  </si>
  <si>
    <t>Staatsanleihen CHF</t>
  </si>
  <si>
    <t>Unternehmensanleihen CHF</t>
  </si>
  <si>
    <t>Obligationen Fremdwährungen</t>
  </si>
  <si>
    <t>Jahr</t>
  </si>
  <si>
    <t>Rendite Bundesobligationen</t>
  </si>
  <si>
    <t>BVG-Mindestzins</t>
  </si>
  <si>
    <t>Künftiger Wert</t>
  </si>
  <si>
    <t>Aktueller Wert</t>
  </si>
  <si>
    <t>Schwerpunkt: Drei Zinssätze als zentrale Steuerungsgrössen</t>
  </si>
  <si>
    <t>Vorsorgeeinrichtungen in Unterdeckung</t>
  </si>
  <si>
    <t>Gesamt-Risiko</t>
  </si>
  <si>
    <t>Deckungsgrad mit individuellen Grundlagen</t>
  </si>
  <si>
    <t>Rücklaufquote</t>
  </si>
  <si>
    <t>Basisdaten</t>
  </si>
  <si>
    <t>alle VE</t>
  </si>
  <si>
    <t>Wichtigste Kennzahlen</t>
  </si>
  <si>
    <t>alle Geldbeträge in Mio. CHF</t>
  </si>
  <si>
    <t>Bitte wählen Sie Ihre bevorzugte Sprache:</t>
  </si>
  <si>
    <t>Choisissez votre langue préférée s.v.p.:</t>
  </si>
  <si>
    <t>deutsch</t>
  </si>
  <si>
    <t>français</t>
  </si>
  <si>
    <t>choice of language</t>
  </si>
  <si>
    <t>translated text</t>
  </si>
  <si>
    <t>Forme juridique</t>
  </si>
  <si>
    <t>Société coopérative de droit privé</t>
  </si>
  <si>
    <t>Employeur de droit privé</t>
  </si>
  <si>
    <t>Öffentlich-rechtlicher Arbeitgeber</t>
  </si>
  <si>
    <t>Employeur de droit public</t>
  </si>
  <si>
    <t>Forme administrative</t>
  </si>
  <si>
    <t>Institution collective</t>
  </si>
  <si>
    <t>Institution commune</t>
  </si>
  <si>
    <t>Autonome sans réassurance</t>
  </si>
  <si>
    <t>Primauté des cotisations</t>
  </si>
  <si>
    <t>Primauté des prestations</t>
  </si>
  <si>
    <t>Forme mixte</t>
  </si>
  <si>
    <t>Autre</t>
  </si>
  <si>
    <t>Bases biométriques</t>
  </si>
  <si>
    <t>LPP 2000</t>
  </si>
  <si>
    <t>LPP 2005</t>
  </si>
  <si>
    <t>LPP 2010</t>
  </si>
  <si>
    <t>Aucune</t>
  </si>
  <si>
    <t>Liquidités</t>
  </si>
  <si>
    <t>Biens immobiliers</t>
  </si>
  <si>
    <t>Actions</t>
  </si>
  <si>
    <t>Placements alternatifs</t>
  </si>
  <si>
    <t>Nombre d’assurés actifs</t>
  </si>
  <si>
    <t>Masse salariale assurée</t>
  </si>
  <si>
    <t>Somme du bilan</t>
  </si>
  <si>
    <t>Provisions techniques</t>
  </si>
  <si>
    <t>Cotisations réglementaires</t>
  </si>
  <si>
    <t>Sanierungsmassnahmen</t>
  </si>
  <si>
    <t>Deckungsgrad mit einheitlichen Grundlagen</t>
  </si>
  <si>
    <t>Risque global</t>
  </si>
  <si>
    <t>Link zum Fragebogen:</t>
  </si>
  <si>
    <t>Lien vers le questionnaire:</t>
  </si>
  <si>
    <t>Link zu den Erläuterungen:</t>
  </si>
  <si>
    <t>Lien vers le guide:</t>
  </si>
  <si>
    <t>Link zu den Berechnungen:</t>
  </si>
  <si>
    <t>Lien vers les calculs:</t>
  </si>
  <si>
    <t>Link zum Bericht:</t>
  </si>
  <si>
    <t>Lien vers le rapport:</t>
  </si>
  <si>
    <t>http://www.oak-bv.admin.ch/fileadmin/dateien/themen/Erhebung_finanzielle_Lage/Fragebogen_2013.pdf</t>
  </si>
  <si>
    <t>http://www.oak-bv.admin.ch/fileadmin/dateien/themen/Erhebung_finanzielle_Lage/Questionnaire_2013.pdf</t>
  </si>
  <si>
    <t>http://www.oak-bv.admin.ch/fileadmin/dateien/themen/Erhebung_finanzielle_Lage/Erlaeuterungen_2013.pdf</t>
  </si>
  <si>
    <t>http://www.oak-bv.admin.ch/fileadmin/dateien/themen/Erhebung_finanzielle_Lage/Guide_2013.pdf</t>
  </si>
  <si>
    <t>http://www.oak-bv.admin.ch/fileadmin/dateien/themen/Erhebung_finanzielle_Lage/Berechnungen_2013.pdf</t>
  </si>
  <si>
    <t>http://www.oak-bv.admin.ch/fileadmin/dateien/themen/Erhebung_finanzielle_Lage/Calculs_2013.pdf</t>
  </si>
  <si>
    <t>http://www.oak-bv.admin.ch/fileadmin/dateien/Mitteilungen/Bericht_finanzielle_Lage_2013.pdf</t>
  </si>
  <si>
    <t>http://www.oak-bv.admin.ch/fileadmin/dateien/Mitteilungen/Rapport_situation_financiere_2013.pdf</t>
  </si>
  <si>
    <t>Tabellarische Darstellung der drei Zinsgrössen</t>
  </si>
  <si>
    <t>zurück zur Übersicht</t>
  </si>
  <si>
    <t>Perioden- und Generationentafeln</t>
  </si>
  <si>
    <t>1 – faible</t>
  </si>
  <si>
    <t>2 – plutôt faible</t>
  </si>
  <si>
    <t>3 – moyen</t>
  </si>
  <si>
    <t>4 – plutôt élevé</t>
  </si>
  <si>
    <t>5 – élevé</t>
  </si>
  <si>
    <t>Taux de retour des questionnaires</t>
  </si>
  <si>
    <t>Questionnaires envoyés</t>
  </si>
  <si>
    <t>Questionnaires retournés</t>
  </si>
  <si>
    <t>dont d'institutions en liquidation</t>
  </si>
  <si>
    <t>dont d'institutions non soumises à la loi sur le libre passage</t>
  </si>
  <si>
    <t>Questionnaires exploités pour le présent rapport</t>
  </si>
  <si>
    <t>Nombre d’institutions de prévoyance</t>
  </si>
  <si>
    <t>Nombre de rentiers</t>
  </si>
  <si>
    <t>Masse salariale de base</t>
  </si>
  <si>
    <t>Somme des rentes</t>
  </si>
  <si>
    <t>Réserves de cotisations d’employeur sans déclaration de renonciation</t>
  </si>
  <si>
    <t>Réserves de cotisations d’employeur avec déclaration de renonciation</t>
  </si>
  <si>
    <t>Avoirs de vieillesse LPP</t>
  </si>
  <si>
    <t>Capital de prévoyance des assurés actifs</t>
  </si>
  <si>
    <t>Capital de prévoyance des rentiers</t>
  </si>
  <si>
    <t>Autres contributions</t>
  </si>
  <si>
    <t>ø Rémunération des avoirs de vieillesse (primauté des cotisations)</t>
  </si>
  <si>
    <t>ø Taux d’intérêt technique</t>
  </si>
  <si>
    <t>Tables de génération (part)</t>
  </si>
  <si>
    <t>ø Taux de couverture calculé sur des bases individuelles</t>
  </si>
  <si>
    <t>ø Taux de couverture calculé sur des bases uniformes</t>
  </si>
  <si>
    <t>Situations de découvert (part)</t>
  </si>
  <si>
    <t>Primauté des prestations (part)</t>
  </si>
  <si>
    <t>ø Taux de conversion prévu (dans cinq ans, à l’âge de 65 ans, primauté des cotisations)</t>
  </si>
  <si>
    <t>ø Zinsversprechen bei Pensionierung (in 5 Jahren)</t>
  </si>
  <si>
    <t>ø Promesses d’intérêts au moment du départ à la retraite (dans cinq ans)</t>
  </si>
  <si>
    <t>Institutions de prévoyance enregistrées (part)</t>
  </si>
  <si>
    <t>Avoirs de vieillesse LPP dans le capital de prévoyance des assurés actifs (part)</t>
  </si>
  <si>
    <t>Anteil Rentenverpflichtungen</t>
  </si>
  <si>
    <t>Engagements liés aux rentes (part)</t>
  </si>
  <si>
    <t>ø Impact de la perception de cotisations d’assainissement</t>
  </si>
  <si>
    <t>ø Impact d’une baisse de la rémunération des avoirs de vieillesse</t>
  </si>
  <si>
    <t>Valeurs réelles dans les placements (part)</t>
  </si>
  <si>
    <t>ø Rendement net des placements</t>
  </si>
  <si>
    <t>ø Exposition au risque de change</t>
  </si>
  <si>
    <t>ø Volatilité attendue</t>
  </si>
  <si>
    <t>ø Objectif des réserves de fluctuation de valeur</t>
  </si>
  <si>
    <t>Verzinsung der Altersguthaben</t>
  </si>
  <si>
    <t>Intérêt servi sur l’avoir de vieillesse</t>
  </si>
  <si>
    <t>unter 1.00%</t>
  </si>
  <si>
    <t>Moins de 1,00 %</t>
  </si>
  <si>
    <t>1.00% – 1.49%</t>
  </si>
  <si>
    <t>De 1,00 à 1,49 %</t>
  </si>
  <si>
    <t>1.50% – 1.99%</t>
  </si>
  <si>
    <t>De 1,50 à 1,99 %</t>
  </si>
  <si>
    <t>2.00% – 2.49%</t>
  </si>
  <si>
    <t>De 2,00 à 2,49 %</t>
  </si>
  <si>
    <t>De 2,50 à 2,99 %</t>
  </si>
  <si>
    <t>3.00% oder höher</t>
  </si>
  <si>
    <t>3,00 % et plus</t>
  </si>
  <si>
    <t xml:space="preserve">Taux d'intérêt technique </t>
  </si>
  <si>
    <t>keine selbst erbrachten Rentenleistungen</t>
  </si>
  <si>
    <t>Pas de rentes payées directement par l'IP</t>
  </si>
  <si>
    <t>unter 2.50%</t>
  </si>
  <si>
    <t>Moins de 2,50 %</t>
  </si>
  <si>
    <t>De 3,00 à 3,49 %</t>
  </si>
  <si>
    <t>De 3,50 à 3,99 %</t>
  </si>
  <si>
    <t>De 4,00 à 4,49 %</t>
  </si>
  <si>
    <t>4.50% oder höher</t>
  </si>
  <si>
    <t>4,50 % et plus</t>
  </si>
  <si>
    <t>Zinsversprechen für zukünftige Rentenleistung</t>
  </si>
  <si>
    <t>Taux d'intérêt promis applicable aux futures rentes</t>
  </si>
  <si>
    <t>Erhöhung</t>
  </si>
  <si>
    <t>Augmentation</t>
  </si>
  <si>
    <t>Inchangé</t>
  </si>
  <si>
    <t>Reduktion bis 0.50%</t>
  </si>
  <si>
    <t>Baisse jusqu'à 0,50 %</t>
  </si>
  <si>
    <t>Reduktion zwischen 0.51% bis 1.00%</t>
  </si>
  <si>
    <t>Baisse de 0,51 à 1,00 %</t>
  </si>
  <si>
    <t>Reduktion über 1.00%</t>
  </si>
  <si>
    <t>Baisse supérieure à 1,00 %</t>
  </si>
  <si>
    <t>EVK 2000 und älter</t>
  </si>
  <si>
    <t>CFP 2000 et plus anciennes</t>
  </si>
  <si>
    <t>BVG 2005 und älter</t>
  </si>
  <si>
    <t>LPP 2005 et plus anciennes</t>
  </si>
  <si>
    <t>VZ 2005 und älter</t>
  </si>
  <si>
    <t>VZ 2005 et plus anciennes</t>
  </si>
  <si>
    <t>Tables périodiques et tables de génération</t>
  </si>
  <si>
    <t>Tables périodiques</t>
  </si>
  <si>
    <t>Tables de génération</t>
  </si>
  <si>
    <t>Taux de couverture calculé sur des bases individuelles</t>
  </si>
  <si>
    <t>Moins de 80,0 %</t>
  </si>
  <si>
    <t>De 80,0 à 89,9 %</t>
  </si>
  <si>
    <t>De 90,0 à 99,9 %</t>
  </si>
  <si>
    <t>De 100,0 à 109,9 %</t>
  </si>
  <si>
    <t>De 110,0 à 119,9 %</t>
  </si>
  <si>
    <t>120,0 % et plus</t>
  </si>
  <si>
    <t>Taux de couverture calculé sur des bases uniformes</t>
  </si>
  <si>
    <t>Beitrags- und Leistungsprimat für Altersleistungen</t>
  </si>
  <si>
    <t>Primauté des cotisations et primauté des prestations pour les prestations de vieillesse</t>
  </si>
  <si>
    <t>Caisse ne comptant que des rentiers</t>
  </si>
  <si>
    <t>Erhöhung Deckungsgrad pro Jahr bei einem Sanierungsbeitrag von 1%</t>
  </si>
  <si>
    <t>Augmentation du taux de couverture par année en cas de cotisation d'assainissement équivalent à 1 % de la masse salariale de base</t>
  </si>
  <si>
    <t>De 0,00 à 0,19 %</t>
  </si>
  <si>
    <t>De 0,20 à 0,39 %</t>
  </si>
  <si>
    <t>De 0,40 à 0,59 %</t>
  </si>
  <si>
    <t>De 0,60 à 0,79 %</t>
  </si>
  <si>
    <t>De 0,80 à 0,99 %</t>
  </si>
  <si>
    <t>1.00% oder mehr</t>
  </si>
  <si>
    <t>1,00 % et plus</t>
  </si>
  <si>
    <t>Anteil der BVG-Altersguthaben</t>
  </si>
  <si>
    <t>Part des avoirs de vieillesse LPP</t>
  </si>
  <si>
    <t>Non défini</t>
  </si>
  <si>
    <t>unter 20%</t>
  </si>
  <si>
    <t>Moins de 20 %</t>
  </si>
  <si>
    <t>20% – 39%</t>
  </si>
  <si>
    <t>De 20 à 39 %</t>
  </si>
  <si>
    <t>40% – 59%</t>
  </si>
  <si>
    <t>De 40 à 59 %</t>
  </si>
  <si>
    <t>60% – 79%</t>
  </si>
  <si>
    <t>De 60 à 79 %</t>
  </si>
  <si>
    <t>80% – 99%</t>
  </si>
  <si>
    <t>De 80 à 99 %</t>
  </si>
  <si>
    <t>100 %</t>
  </si>
  <si>
    <t>Erhöhung Deckungsgrad pro Jahr bei einer Minderverzinsung von 1%</t>
  </si>
  <si>
    <t>Augmentation du taux de couverture par année en cas de réduction de 1 % de la rémunération des avoirs de vieillesse</t>
  </si>
  <si>
    <t>100%</t>
  </si>
  <si>
    <t>1.00%</t>
  </si>
  <si>
    <t>1,00 %</t>
  </si>
  <si>
    <t>Anlagestrategie: Aufteilung in Hauptkategorien</t>
  </si>
  <si>
    <t>Stratégie de placement : distribution des principales catégories</t>
  </si>
  <si>
    <t>Créances</t>
  </si>
  <si>
    <t>Sachwertanteile der Anlagestrategien</t>
  </si>
  <si>
    <t>Part des valeurs réelles dans les stratégies de placement</t>
  </si>
  <si>
    <t>unter 40%</t>
  </si>
  <si>
    <t>Moins de 40 %</t>
  </si>
  <si>
    <t>40% – 49%</t>
  </si>
  <si>
    <t>De 40 à 49 %</t>
  </si>
  <si>
    <t>50% – 59%</t>
  </si>
  <si>
    <t>De 50 à 59 %</t>
  </si>
  <si>
    <t>60% – 69%</t>
  </si>
  <si>
    <t>De 60 à 69 %</t>
  </si>
  <si>
    <t>70% oder höher</t>
  </si>
  <si>
    <t>70 % et plus</t>
  </si>
  <si>
    <t>Obligations d’Etat CHF</t>
  </si>
  <si>
    <t>Obligations d’entreprises CHF</t>
  </si>
  <si>
    <t>Obligations en devises étrangères</t>
  </si>
  <si>
    <t>Immobilier résidentiel suisse, placements directs</t>
  </si>
  <si>
    <t>Immobilier commercial suisse, placements directs</t>
  </si>
  <si>
    <t xml:space="preserve">Fonds immobiliers suisses </t>
  </si>
  <si>
    <t>Immobilier à l’étranger</t>
  </si>
  <si>
    <t>Actions suisses</t>
  </si>
  <si>
    <t>Actions pays industrialisés</t>
  </si>
  <si>
    <t>Actions pays émergents</t>
  </si>
  <si>
    <t>Hedge funds</t>
  </si>
  <si>
    <t>Private equity</t>
  </si>
  <si>
    <t>Placements d’infrastructures</t>
  </si>
  <si>
    <t>Créances alternatives</t>
  </si>
  <si>
    <t>Autres placements alternatifs</t>
  </si>
  <si>
    <t>Fremdwährungsexposure</t>
  </si>
  <si>
    <t>Exposition au risque de change</t>
  </si>
  <si>
    <t>unter 5%</t>
  </si>
  <si>
    <t>Moins de 5 %</t>
  </si>
  <si>
    <t>5% – 9%</t>
  </si>
  <si>
    <t>De 5 à 9 %</t>
  </si>
  <si>
    <t>10% – 14%</t>
  </si>
  <si>
    <t>De 10 à 14 %</t>
  </si>
  <si>
    <t>15% – 19%</t>
  </si>
  <si>
    <t>De 15 à 19 %</t>
  </si>
  <si>
    <t>20% – 24%</t>
  </si>
  <si>
    <t>De 20 à 24 %</t>
  </si>
  <si>
    <t>25% oder mehr</t>
  </si>
  <si>
    <t>25 % et plus</t>
  </si>
  <si>
    <t>Erwartete Volatilität</t>
  </si>
  <si>
    <t>Volatilité attendue</t>
  </si>
  <si>
    <t>Moins de 1 %</t>
  </si>
  <si>
    <t>1.0% – 2.9%</t>
  </si>
  <si>
    <t>De 1,0 à 2,9 %</t>
  </si>
  <si>
    <t>3.0% – 4.9%</t>
  </si>
  <si>
    <t>De 3,0 à 4,9 %</t>
  </si>
  <si>
    <t>5.0% – 6.9%</t>
  </si>
  <si>
    <t>De 5,0 à 6,9 %</t>
  </si>
  <si>
    <t>7.0% – 8.9%</t>
  </si>
  <si>
    <t>De 7,0 à 8,9 %</t>
  </si>
  <si>
    <t>9% oder höher</t>
  </si>
  <si>
    <t>9 % et plus</t>
  </si>
  <si>
    <t>Ziel-Wertschwankungsreserven</t>
  </si>
  <si>
    <t>Objectif des réserves de fluctuation de valeur</t>
  </si>
  <si>
    <t>25% oder höher</t>
  </si>
  <si>
    <t>Mesures d'assainissement</t>
  </si>
  <si>
    <t>Institutions de prévoyance en sous-couverture</t>
  </si>
  <si>
    <t>Groupe de risque 1 – faible</t>
  </si>
  <si>
    <t>Groupe de risque 2 – plutôt faible</t>
  </si>
  <si>
    <t>Groupe de risque 3 – moyen</t>
  </si>
  <si>
    <t>Groupe de risque 4 – plutôt élevé</t>
  </si>
  <si>
    <t>Groupe de risque 5 – élevé</t>
  </si>
  <si>
    <t>Risikogruppe 1 – klein</t>
  </si>
  <si>
    <t>Risikogruppe 2 – eher klein</t>
  </si>
  <si>
    <t>Risikogruppe 3 – mittel</t>
  </si>
  <si>
    <t>Risikogruppe 4 – eher hoch</t>
  </si>
  <si>
    <t>Risikogruppe 5 – hoch</t>
  </si>
  <si>
    <t>Aucune mesure</t>
  </si>
  <si>
    <t>Effets limités</t>
  </si>
  <si>
    <t>Effets modérés</t>
  </si>
  <si>
    <t>Effets importants</t>
  </si>
  <si>
    <t>schwache Massnahmen</t>
  </si>
  <si>
    <t>mittlere Massnahmen</t>
  </si>
  <si>
    <t>starke Massnahmen</t>
  </si>
  <si>
    <t>Fondation privée</t>
  </si>
  <si>
    <t>Institution de droit public</t>
  </si>
  <si>
    <t>Employeur et forme de garantie</t>
  </si>
  <si>
    <t>Couverture d'assurance</t>
  </si>
  <si>
    <r>
      <t xml:space="preserve">Autonome avec réassurance de type </t>
    </r>
    <r>
      <rPr>
        <i/>
        <sz val="10"/>
        <color theme="1"/>
        <rFont val="Arial"/>
        <family val="2"/>
      </rPr>
      <t>stop-loss</t>
    </r>
  </si>
  <si>
    <r>
      <t xml:space="preserve">Autonome avec réassurance de type </t>
    </r>
    <r>
      <rPr>
        <i/>
        <sz val="10"/>
        <color theme="1"/>
        <rFont val="Arial"/>
        <family val="2"/>
      </rPr>
      <t>excess-of-loss</t>
    </r>
  </si>
  <si>
    <t>Semi-autonome : rentes de vieillesse garanties par l'institution de prévoyance</t>
  </si>
  <si>
    <t>Semi-autonome : rachat de rentes de vieillesse individuelles auprès d'une assurance</t>
  </si>
  <si>
    <t>Assurance complète (collective)</t>
  </si>
  <si>
    <t>Institution d'épargne</t>
  </si>
  <si>
    <t>Prestations obligatoires (y compris IP enveloppantes)</t>
  </si>
  <si>
    <t>Prestations surobligatoires uniquement</t>
  </si>
  <si>
    <t>Institution de prévoyance d’un seul employeur</t>
  </si>
  <si>
    <t>Institution de prévoyance d’un groupe</t>
  </si>
  <si>
    <t>Autre regroupement de plusieurs employeurs</t>
  </si>
  <si>
    <t>Institution collective ou commune d'employeurs de droit public</t>
  </si>
  <si>
    <t>valeur future</t>
  </si>
  <si>
    <t>valeur actuelle</t>
  </si>
  <si>
    <t>Jährliche Altersrente</t>
  </si>
  <si>
    <t>rente de vieillesse annuelle</t>
  </si>
  <si>
    <t>Entwicklung des Zinsniveaus in den letzten 25 Jahren</t>
  </si>
  <si>
    <t>Evolution du niveau des intérêts des 25 dernières années</t>
  </si>
  <si>
    <t>Rendement des obligations de la Confédération</t>
  </si>
  <si>
    <t>Taux d'intérêt technique moyen</t>
  </si>
  <si>
    <t>Taux d'intérêt minimal LPP</t>
  </si>
  <si>
    <t>Nombre d'IP ayant pris des mesures</t>
  </si>
  <si>
    <t>Abbildung</t>
  </si>
  <si>
    <t>Abbildungen</t>
  </si>
  <si>
    <t>und</t>
  </si>
  <si>
    <t>Figure</t>
  </si>
  <si>
    <t>Figures</t>
  </si>
  <si>
    <t>et</t>
  </si>
  <si>
    <t>retour à la vue d'ensemble</t>
  </si>
  <si>
    <t>Approfondissement : les trois taux d'intérêt déterminants</t>
  </si>
  <si>
    <t>Höhe der jährlichen Altersrente bei einem Altersguthaben von 100 und fixem Zinsversprechen bei Pensionierung</t>
  </si>
  <si>
    <t>Zinssatz</t>
  </si>
  <si>
    <t>taux d'intérêt</t>
  </si>
  <si>
    <t>Künftiger Wert von 100 bei zehn Jahren Laufzeit und fixer jährlicher Verzinsung</t>
  </si>
  <si>
    <t>Aktueller Wert von 100 bei Auszahlung in zehn Jahren und fixer jährlicher Verzinsung</t>
  </si>
  <si>
    <t>Durchschnittlicher technischer Zins</t>
  </si>
  <si>
    <t>Année</t>
  </si>
  <si>
    <t>Tableau schématique des trois taux d'intérêt déterminants</t>
  </si>
  <si>
    <t>Nicht eingereichte Fragebogen</t>
  </si>
  <si>
    <t>Questionnaires non retournés</t>
  </si>
  <si>
    <t>institutions de prévoyance sans garantie étatique</t>
  </si>
  <si>
    <t>institutions de prévoyance avec garantie étatique</t>
  </si>
  <si>
    <t>toutes les institutions de prévoyance</t>
  </si>
  <si>
    <t>Nombre d'IP</t>
  </si>
  <si>
    <t>Nombre d'assurés actifs</t>
  </si>
  <si>
    <t>Nombre d'assurés</t>
  </si>
  <si>
    <t>Part de la somme du bilan</t>
  </si>
  <si>
    <t>toutes les IP</t>
  </si>
  <si>
    <t>IP sans garantie étatique</t>
  </si>
  <si>
    <t>IP avec garantie étatique</t>
  </si>
  <si>
    <t>Données de base</t>
  </si>
  <si>
    <t>Principaux chiffres clés</t>
  </si>
  <si>
    <t>alle Anteile und Durchschnitte mit der Bilanzsumme gewichtet</t>
  </si>
  <si>
    <t>les montants exprimés en millions de francs</t>
  </si>
  <si>
    <t>les parts et les moyennes pondérées en fonction de la somme du bilan</t>
  </si>
  <si>
    <t>Anzahl VE mit getroffenen Massnahmen</t>
  </si>
  <si>
    <t>ohne Massnahmen</t>
  </si>
  <si>
    <t>Niveau de risque</t>
  </si>
  <si>
    <t>Augmentation du taux de couverture de</t>
  </si>
  <si>
    <t>Registrierung und Umfang der Leistungen</t>
  </si>
  <si>
    <t>Performance des placements</t>
  </si>
  <si>
    <t>Risiko Deckungsgrad</t>
  </si>
  <si>
    <t>Risiko Zinsversprechen</t>
  </si>
  <si>
    <t>Risiko Sanierungsfähigkeit</t>
  </si>
  <si>
    <t>Risiko Anlagestrategie</t>
  </si>
  <si>
    <t>Risque lié au taux de couverture</t>
  </si>
  <si>
    <t>Risque lié à la promesse d'intérêts</t>
  </si>
  <si>
    <t>Risque lié à la capacité d'assainissement</t>
  </si>
  <si>
    <t>Risque lié à la stratégie de placement</t>
  </si>
  <si>
    <t>Valeur future d'un apport de 100 à dix ans et intérêt annuel fixe</t>
  </si>
  <si>
    <t>Valeur actuelle d'un capital de 100 versé dans dix ans et taux d'intérêt technique fixe</t>
  </si>
  <si>
    <t>Montant de la rente de vieillesse annuelle pour un avoir de vieillesse de 100 basée sur un intérêt convenu au moment du départ à la retraite</t>
  </si>
  <si>
    <t>Anlagestrategie: Aufteilung in die neuen Sub-Kategorien</t>
  </si>
  <si>
    <t>Stratégie de placement : répartition dans les nouvelles sous-catégories</t>
  </si>
  <si>
    <t>Répartition de la stratégie de placement</t>
  </si>
  <si>
    <t>Anzahl Fragebogen</t>
  </si>
  <si>
    <t>Nombre des questionnaires</t>
  </si>
  <si>
    <t>Anteil der versandten Fragebogen</t>
  </si>
  <si>
    <t>Part des questionnaires envoyés</t>
  </si>
  <si>
    <t>Datenauswertungen zum Bericht zur finanziellen Lage der Vorsorgeeinrichtungen 2014</t>
  </si>
  <si>
    <t>Données exploitées concernant le rapport sur la situation financière des institutions de prévoyance 2014</t>
  </si>
  <si>
    <t>Erhebung zur finanziellen Lage der Vorsorgeeinrichtungen 2014</t>
  </si>
  <si>
    <t>Enquête sur la situation financière des institutions de prévoyance 2014</t>
  </si>
  <si>
    <t>Voir http://www.oak-bv.admin.ch/fr/themes/recensement-situation-financiere/index.html</t>
  </si>
  <si>
    <t>Siehe http://www.oak-bv.admin.ch/de/themen/erhebung-finanzielle-lage/index.html</t>
  </si>
  <si>
    <t>stratégie de placement pondérée en fonction de la somme du bilan</t>
  </si>
  <si>
    <t>mit der Bilanzsumme gewichtete Anlagestrategie</t>
  </si>
  <si>
    <t>Part de rentiers</t>
  </si>
  <si>
    <t>De -0,01 à -0,25 %</t>
  </si>
  <si>
    <t>De -0,26 à -0,50 %</t>
  </si>
  <si>
    <t>De -0,51 à -0,75 %</t>
  </si>
  <si>
    <t>De -0,76 à -1,00 %</t>
  </si>
  <si>
    <t>De -1,01 à -1,50 %</t>
  </si>
  <si>
    <t>De -1,51 à -2,00 %</t>
  </si>
  <si>
    <t>De -2,01 à -2,50 %</t>
  </si>
  <si>
    <t>0,01 % et plus</t>
  </si>
  <si>
    <t>-0.25% – -0.01%</t>
  </si>
  <si>
    <t>-0.50% – -0.26%</t>
  </si>
  <si>
    <t>-0.75% – -0.51%</t>
  </si>
  <si>
    <t>-1.00% – -0.76%</t>
  </si>
  <si>
    <t>-1.50% – -1.01%</t>
  </si>
  <si>
    <t>-2.00% – -1.51%</t>
  </si>
  <si>
    <t>-2.50% – -2.01%</t>
  </si>
  <si>
    <t>-2,51 % et moins</t>
  </si>
  <si>
    <t>-2.51% oder tiefer</t>
  </si>
  <si>
    <t>0.01% oder höher</t>
  </si>
  <si>
    <t>0.50% – 0.99%</t>
  </si>
  <si>
    <t>1.76% – 1.99%</t>
  </si>
  <si>
    <t>1.51% – 1.74%</t>
  </si>
  <si>
    <t>4.50% – 4.99%</t>
  </si>
  <si>
    <t>5.00% oder höher</t>
  </si>
  <si>
    <t>Moins de 0,00 %</t>
  </si>
  <si>
    <t>Exactement 0,00 %</t>
  </si>
  <si>
    <t>0.01% – 0.49%</t>
  </si>
  <si>
    <t>De 0,01 à 0,49 %</t>
  </si>
  <si>
    <t>De 0,50 à 0,99 %</t>
  </si>
  <si>
    <t>Exactement 1,50 %</t>
  </si>
  <si>
    <t>Exactement 1,75 %</t>
  </si>
  <si>
    <t>De 1,51 à 1,74 %</t>
  </si>
  <si>
    <t>De 1,76 à 1,99 %</t>
  </si>
  <si>
    <t>De 4,50 à 4,99 %</t>
  </si>
  <si>
    <t>5,00 % et plus</t>
  </si>
  <si>
    <t>CFP 1990</t>
  </si>
  <si>
    <t>CFP 2000</t>
  </si>
  <si>
    <t>Aucune (contrat d'assurance)</t>
  </si>
  <si>
    <t>Aucune (prestations sous forme de capital)</t>
  </si>
  <si>
    <t>Aucune (prestations temporaires)</t>
  </si>
  <si>
    <t>unter 80.0%</t>
  </si>
  <si>
    <t>120.0% oder höher</t>
  </si>
  <si>
    <t>Exactement 0 %</t>
  </si>
  <si>
    <t>De 1 à 4 %</t>
  </si>
  <si>
    <t>De 25 à 29 %</t>
  </si>
  <si>
    <t>De 30 à 34 %</t>
  </si>
  <si>
    <t>De 35 à 39 %</t>
  </si>
  <si>
    <t>De 40 à 44 %</t>
  </si>
  <si>
    <t>De 45 à 49 %</t>
  </si>
  <si>
    <t>De 50 à 54 %</t>
  </si>
  <si>
    <t>De 55 à 59 %</t>
  </si>
  <si>
    <t>De 60 à 64 %</t>
  </si>
  <si>
    <t>De 65 à 69 %</t>
  </si>
  <si>
    <t>De 70 à 74 %</t>
  </si>
  <si>
    <t>De 75 à 79 %</t>
  </si>
  <si>
    <t>De 80 à 84 %</t>
  </si>
  <si>
    <t>De 85 à 89 %</t>
  </si>
  <si>
    <t>De 90 à 94 %</t>
  </si>
  <si>
    <t>De 95 à 99 %</t>
  </si>
  <si>
    <t>Exactement 100 %</t>
  </si>
  <si>
    <t xml:space="preserve">   Vollkapitalisierung ohne Staatsgarantie</t>
  </si>
  <si>
    <t xml:space="preserve">   Vollkapitalisierung mit Staatsgarantie</t>
  </si>
  <si>
    <t xml:space="preserve">   Teilkapitalisierung</t>
  </si>
  <si>
    <t xml:space="preserve">   Zukünftiges System noch unklar</t>
  </si>
  <si>
    <t xml:space="preserve">   Capitalisation complète sans garantie étatique</t>
  </si>
  <si>
    <t xml:space="preserve">   Capitalisation complète avec garantie étatique</t>
  </si>
  <si>
    <t xml:space="preserve">   Capitalisation partielle</t>
  </si>
  <si>
    <t xml:space="preserve">   Système appliqué à l'avenir non encore déterminé</t>
  </si>
  <si>
    <t>Veränderung des technischen Zinses (von 2013 auf 2014)</t>
  </si>
  <si>
    <t>Evolution de l’intérêt technique (de 2013 à 2014)</t>
  </si>
  <si>
    <t>Enregistrement et étendue des prestations</t>
  </si>
  <si>
    <t>für weitere Informationen siehe</t>
  </si>
  <si>
    <t>http://www.oak-bv.admin.ch/de/themen/erhebung-finanzielle-lage/index.html</t>
  </si>
  <si>
    <t>http://www.oak-bv.admin.ch/fr/themes/recensement-situation-financiere/index.html</t>
  </si>
  <si>
    <t>pour de plus amples informations, voir</t>
  </si>
  <si>
    <t>Assurance / Prestations sous forme de capital</t>
  </si>
  <si>
    <t>-1.01% oder tiefer</t>
  </si>
  <si>
    <t>-1,01 % et moins</t>
  </si>
  <si>
    <t>Bilanzsumme in Mio. CHF</t>
  </si>
  <si>
    <t>somme du bilan en millions de francs</t>
  </si>
  <si>
    <t>keine Daten erhoben</t>
  </si>
  <si>
    <t>pas de données saisies</t>
  </si>
  <si>
    <t>nicht separat erhoben</t>
  </si>
  <si>
    <t>non saisi séparément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</si>
</sst>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_ * #,##0.000_ ;_ * \-#,##0.000_ ;_ * &quot;-&quot;??_ ;_ @_ "/>
    <numFmt numFmtId="167" formatCode="0.0000%"/>
  </numFmts>
  <fonts count="3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92D050"/>
      <name val="Arial"/>
      <family val="2"/>
    </font>
    <font>
      <b/>
      <sz val="10"/>
      <color theme="3" tint="0.39997558519241921"/>
      <name val="Arial"/>
      <family val="2"/>
    </font>
    <font>
      <sz val="10"/>
      <name val="MS Sans Serif"/>
    </font>
    <font>
      <u/>
      <sz val="11"/>
      <color theme="10"/>
      <name val="Arial"/>
      <family val="2"/>
    </font>
    <font>
      <u/>
      <sz val="8"/>
      <color theme="1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6882E"/>
        <bgColor indexed="64"/>
      </patternFill>
    </fill>
    <fill>
      <patternFill patternType="solid">
        <fgColor rgb="FFF9AD6F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rgb="FFCAE8AA"/>
        <bgColor indexed="64"/>
      </patternFill>
    </fill>
    <fill>
      <patternFill patternType="solid">
        <fgColor rgb="FF8AB2E2"/>
        <bgColor indexed="64"/>
      </patternFill>
    </fill>
    <fill>
      <patternFill patternType="solid">
        <fgColor rgb="FFB2C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1" fillId="0" borderId="0"/>
    <xf numFmtId="0" fontId="32" fillId="0" borderId="0"/>
    <xf numFmtId="0" fontId="33" fillId="0" borderId="0" applyNumberFormat="0" applyFill="0" applyBorder="0" applyAlignment="0" applyProtection="0"/>
  </cellStyleXfs>
  <cellXfs count="198">
    <xf numFmtId="0" fontId="0" fillId="0" borderId="0" xfId="0"/>
    <xf numFmtId="0" fontId="18" fillId="0" borderId="0" xfId="0" applyFont="1"/>
    <xf numFmtId="0" fontId="18" fillId="0" borderId="0" xfId="0" applyFont="1" applyFill="1"/>
    <xf numFmtId="0" fontId="26" fillId="0" borderId="0" xfId="44" applyFont="1" applyAlignment="1">
      <alignment horizontal="left" vertical="top"/>
    </xf>
    <xf numFmtId="0" fontId="0" fillId="0" borderId="0" xfId="0" applyFill="1"/>
    <xf numFmtId="0" fontId="25" fillId="0" borderId="0" xfId="44" applyFont="1" applyAlignment="1">
      <alignment horizontal="left" vertical="top"/>
    </xf>
    <xf numFmtId="3" fontId="18" fillId="35" borderId="0" xfId="1" applyNumberFormat="1" applyFont="1" applyFill="1" applyBorder="1"/>
    <xf numFmtId="3" fontId="19" fillId="35" borderId="0" xfId="0" applyNumberFormat="1" applyFont="1" applyFill="1" applyBorder="1"/>
    <xf numFmtId="3" fontId="18" fillId="33" borderId="0" xfId="1" applyNumberFormat="1" applyFont="1" applyFill="1" applyBorder="1"/>
    <xf numFmtId="3" fontId="19" fillId="33" borderId="0" xfId="0" applyNumberFormat="1" applyFont="1" applyFill="1" applyBorder="1"/>
    <xf numFmtId="3" fontId="18" fillId="34" borderId="0" xfId="1" applyNumberFormat="1" applyFont="1" applyFill="1" applyBorder="1"/>
    <xf numFmtId="3" fontId="19" fillId="34" borderId="0" xfId="0" applyNumberFormat="1" applyFont="1" applyFill="1" applyBorder="1"/>
    <xf numFmtId="166" fontId="18" fillId="35" borderId="0" xfId="1" applyNumberFormat="1" applyFont="1" applyFill="1" applyBorder="1"/>
    <xf numFmtId="166" fontId="19" fillId="35" borderId="0" xfId="1" applyNumberFormat="1" applyFont="1" applyFill="1" applyBorder="1"/>
    <xf numFmtId="166" fontId="18" fillId="33" borderId="0" xfId="1" applyNumberFormat="1" applyFont="1" applyFill="1" applyBorder="1"/>
    <xf numFmtId="166" fontId="19" fillId="33" borderId="0" xfId="1" applyNumberFormat="1" applyFont="1" applyFill="1" applyBorder="1"/>
    <xf numFmtId="166" fontId="18" fillId="34" borderId="0" xfId="1" applyNumberFormat="1" applyFont="1" applyFill="1" applyBorder="1"/>
    <xf numFmtId="166" fontId="19" fillId="34" borderId="0" xfId="1" applyNumberFormat="1" applyFont="1" applyFill="1" applyBorder="1"/>
    <xf numFmtId="0" fontId="18" fillId="0" borderId="0" xfId="0" applyFont="1" applyBorder="1"/>
    <xf numFmtId="0" fontId="18" fillId="0" borderId="0" xfId="0" applyFont="1" applyFill="1" applyBorder="1" applyAlignment="1">
      <alignment horizontal="center" vertical="center" wrapText="1"/>
    </xf>
    <xf numFmtId="166" fontId="18" fillId="0" borderId="0" xfId="1" applyNumberFormat="1" applyFont="1" applyFill="1" applyBorder="1" applyAlignment="1">
      <alignment horizontal="center" vertical="center" wrapText="1"/>
    </xf>
    <xf numFmtId="0" fontId="18" fillId="0" borderId="12" xfId="0" applyNumberFormat="1" applyFont="1" applyBorder="1"/>
    <xf numFmtId="0" fontId="18" fillId="0" borderId="13" xfId="0" applyFont="1" applyBorder="1"/>
    <xf numFmtId="166" fontId="18" fillId="0" borderId="13" xfId="1" applyNumberFormat="1" applyFont="1" applyBorder="1"/>
    <xf numFmtId="0" fontId="18" fillId="0" borderId="14" xfId="0" applyFont="1" applyBorder="1"/>
    <xf numFmtId="0" fontId="18" fillId="0" borderId="18" xfId="0" applyNumberFormat="1" applyFont="1" applyBorder="1"/>
    <xf numFmtId="166" fontId="18" fillId="0" borderId="0" xfId="1" applyNumberFormat="1" applyFont="1" applyBorder="1"/>
    <xf numFmtId="0" fontId="18" fillId="0" borderId="19" xfId="0" applyFont="1" applyBorder="1"/>
    <xf numFmtId="0" fontId="18" fillId="0" borderId="18" xfId="0" applyNumberFormat="1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35" borderId="18" xfId="1" applyNumberFormat="1" applyFont="1" applyFill="1" applyBorder="1"/>
    <xf numFmtId="165" fontId="18" fillId="35" borderId="19" xfId="2" applyNumberFormat="1" applyFont="1" applyFill="1" applyBorder="1"/>
    <xf numFmtId="0" fontId="19" fillId="35" borderId="18" xfId="0" applyNumberFormat="1" applyFont="1" applyFill="1" applyBorder="1"/>
    <xf numFmtId="0" fontId="18" fillId="33" borderId="18" xfId="1" applyNumberFormat="1" applyFont="1" applyFill="1" applyBorder="1"/>
    <xf numFmtId="165" fontId="18" fillId="33" borderId="19" xfId="2" applyNumberFormat="1" applyFont="1" applyFill="1" applyBorder="1"/>
    <xf numFmtId="0" fontId="19" fillId="33" borderId="18" xfId="0" applyNumberFormat="1" applyFont="1" applyFill="1" applyBorder="1"/>
    <xf numFmtId="0" fontId="18" fillId="34" borderId="18" xfId="1" applyNumberFormat="1" applyFont="1" applyFill="1" applyBorder="1"/>
    <xf numFmtId="165" fontId="18" fillId="34" borderId="19" xfId="2" applyNumberFormat="1" applyFont="1" applyFill="1" applyBorder="1"/>
    <xf numFmtId="0" fontId="19" fillId="34" borderId="18" xfId="0" applyNumberFormat="1" applyFont="1" applyFill="1" applyBorder="1"/>
    <xf numFmtId="166" fontId="18" fillId="0" borderId="13" xfId="0" applyNumberFormat="1" applyFont="1" applyBorder="1"/>
    <xf numFmtId="166" fontId="18" fillId="0" borderId="0" xfId="0" applyNumberFormat="1" applyFont="1" applyBorder="1"/>
    <xf numFmtId="0" fontId="18" fillId="40" borderId="18" xfId="1" applyNumberFormat="1" applyFont="1" applyFill="1" applyBorder="1"/>
    <xf numFmtId="3" fontId="18" fillId="40" borderId="0" xfId="1" applyNumberFormat="1" applyFont="1" applyFill="1" applyBorder="1"/>
    <xf numFmtId="166" fontId="18" fillId="40" borderId="0" xfId="1" applyNumberFormat="1" applyFont="1" applyFill="1" applyBorder="1"/>
    <xf numFmtId="165" fontId="18" fillId="40" borderId="19" xfId="2" applyNumberFormat="1" applyFont="1" applyFill="1" applyBorder="1"/>
    <xf numFmtId="0" fontId="19" fillId="40" borderId="18" xfId="0" applyNumberFormat="1" applyFont="1" applyFill="1" applyBorder="1"/>
    <xf numFmtId="166" fontId="19" fillId="40" borderId="0" xfId="0" applyNumberFormat="1" applyFont="1" applyFill="1" applyBorder="1"/>
    <xf numFmtId="0" fontId="18" fillId="38" borderId="18" xfId="1" applyNumberFormat="1" applyFont="1" applyFill="1" applyBorder="1"/>
    <xf numFmtId="3" fontId="18" fillId="38" borderId="0" xfId="1" applyNumberFormat="1" applyFont="1" applyFill="1" applyBorder="1"/>
    <xf numFmtId="166" fontId="18" fillId="38" borderId="0" xfId="1" applyNumberFormat="1" applyFont="1" applyFill="1" applyBorder="1"/>
    <xf numFmtId="165" fontId="18" fillId="38" borderId="19" xfId="2" applyNumberFormat="1" applyFont="1" applyFill="1" applyBorder="1"/>
    <xf numFmtId="0" fontId="19" fillId="38" borderId="18" xfId="0" applyNumberFormat="1" applyFont="1" applyFill="1" applyBorder="1"/>
    <xf numFmtId="166" fontId="19" fillId="38" borderId="0" xfId="0" applyNumberFormat="1" applyFont="1" applyFill="1" applyBorder="1"/>
    <xf numFmtId="0" fontId="18" fillId="36" borderId="18" xfId="1" applyNumberFormat="1" applyFont="1" applyFill="1" applyBorder="1"/>
    <xf numFmtId="3" fontId="18" fillId="36" borderId="0" xfId="1" applyNumberFormat="1" applyFont="1" applyFill="1" applyBorder="1"/>
    <xf numFmtId="166" fontId="18" fillId="36" borderId="0" xfId="1" applyNumberFormat="1" applyFont="1" applyFill="1" applyBorder="1"/>
    <xf numFmtId="165" fontId="18" fillId="36" borderId="19" xfId="2" applyNumberFormat="1" applyFont="1" applyFill="1" applyBorder="1"/>
    <xf numFmtId="0" fontId="19" fillId="36" borderId="18" xfId="0" applyNumberFormat="1" applyFont="1" applyFill="1" applyBorder="1"/>
    <xf numFmtId="166" fontId="19" fillId="36" borderId="0" xfId="0" applyNumberFormat="1" applyFont="1" applyFill="1" applyBorder="1"/>
    <xf numFmtId="0" fontId="18" fillId="0" borderId="15" xfId="0" applyNumberFormat="1" applyFont="1" applyBorder="1"/>
    <xf numFmtId="0" fontId="18" fillId="0" borderId="16" xfId="0" applyFont="1" applyBorder="1"/>
    <xf numFmtId="166" fontId="18" fillId="0" borderId="16" xfId="1" applyNumberFormat="1" applyFont="1" applyBorder="1"/>
    <xf numFmtId="0" fontId="18" fillId="0" borderId="17" xfId="0" applyFont="1" applyBorder="1"/>
    <xf numFmtId="166" fontId="18" fillId="0" borderId="16" xfId="0" applyNumberFormat="1" applyFont="1" applyBorder="1"/>
    <xf numFmtId="165" fontId="19" fillId="35" borderId="19" xfId="2" applyNumberFormat="1" applyFont="1" applyFill="1" applyBorder="1"/>
    <xf numFmtId="3" fontId="19" fillId="40" borderId="0" xfId="0" applyNumberFormat="1" applyFont="1" applyFill="1" applyBorder="1"/>
    <xf numFmtId="165" fontId="19" fillId="40" borderId="19" xfId="2" applyNumberFormat="1" applyFont="1" applyFill="1" applyBorder="1"/>
    <xf numFmtId="165" fontId="19" fillId="33" borderId="19" xfId="2" applyNumberFormat="1" applyFont="1" applyFill="1" applyBorder="1"/>
    <xf numFmtId="3" fontId="19" fillId="38" borderId="0" xfId="0" applyNumberFormat="1" applyFont="1" applyFill="1" applyBorder="1"/>
    <xf numFmtId="165" fontId="19" fillId="38" borderId="19" xfId="2" applyNumberFormat="1" applyFont="1" applyFill="1" applyBorder="1"/>
    <xf numFmtId="165" fontId="19" fillId="34" borderId="19" xfId="2" applyNumberFormat="1" applyFont="1" applyFill="1" applyBorder="1"/>
    <xf numFmtId="3" fontId="19" fillId="36" borderId="0" xfId="0" applyNumberFormat="1" applyFont="1" applyFill="1" applyBorder="1"/>
    <xf numFmtId="165" fontId="19" fillId="36" borderId="19" xfId="2" applyNumberFormat="1" applyFont="1" applyFill="1" applyBorder="1"/>
    <xf numFmtId="3" fontId="18" fillId="0" borderId="0" xfId="0" applyNumberFormat="1" applyFont="1" applyFill="1" applyBorder="1" applyAlignment="1">
      <alignment horizontal="center" vertical="center" wrapText="1"/>
    </xf>
    <xf numFmtId="3" fontId="18" fillId="0" borderId="16" xfId="0" applyNumberFormat="1" applyFont="1" applyBorder="1"/>
    <xf numFmtId="3" fontId="18" fillId="0" borderId="0" xfId="0" applyNumberFormat="1" applyFont="1" applyBorder="1"/>
    <xf numFmtId="0" fontId="22" fillId="41" borderId="18" xfId="44" applyNumberFormat="1" applyFont="1" applyFill="1" applyBorder="1" applyAlignment="1"/>
    <xf numFmtId="0" fontId="23" fillId="41" borderId="18" xfId="44" applyNumberFormat="1" applyFont="1" applyFill="1" applyBorder="1" applyAlignment="1"/>
    <xf numFmtId="0" fontId="22" fillId="42" borderId="12" xfId="0" applyFont="1" applyFill="1" applyBorder="1"/>
    <xf numFmtId="0" fontId="22" fillId="42" borderId="13" xfId="0" applyFont="1" applyFill="1" applyBorder="1"/>
    <xf numFmtId="0" fontId="22" fillId="42" borderId="14" xfId="0" applyFont="1" applyFill="1" applyBorder="1"/>
    <xf numFmtId="0" fontId="22" fillId="42" borderId="18" xfId="0" applyFont="1" applyFill="1" applyBorder="1"/>
    <xf numFmtId="0" fontId="22" fillId="42" borderId="0" xfId="0" applyFont="1" applyFill="1" applyBorder="1"/>
    <xf numFmtId="0" fontId="22" fillId="42" borderId="19" xfId="0" applyFont="1" applyFill="1" applyBorder="1"/>
    <xf numFmtId="0" fontId="22" fillId="42" borderId="15" xfId="0" applyFont="1" applyFill="1" applyBorder="1"/>
    <xf numFmtId="0" fontId="22" fillId="42" borderId="16" xfId="0" applyFont="1" applyFill="1" applyBorder="1"/>
    <xf numFmtId="0" fontId="22" fillId="42" borderId="17" xfId="0" applyFont="1" applyFill="1" applyBorder="1"/>
    <xf numFmtId="0" fontId="22" fillId="0" borderId="10" xfId="47" applyFill="1" applyBorder="1" applyAlignment="1">
      <alignment vertical="top" wrapText="1"/>
    </xf>
    <xf numFmtId="0" fontId="22" fillId="43" borderId="11" xfId="47" applyFill="1" applyBorder="1" applyAlignment="1">
      <alignment vertical="top"/>
    </xf>
    <xf numFmtId="0" fontId="1" fillId="0" borderId="0" xfId="48"/>
    <xf numFmtId="0" fontId="22" fillId="0" borderId="23" xfId="47" applyFill="1" applyBorder="1" applyAlignment="1">
      <alignment vertical="top" wrapText="1"/>
    </xf>
    <xf numFmtId="0" fontId="22" fillId="43" borderId="24" xfId="47" applyFill="1" applyBorder="1" applyAlignment="1">
      <alignment vertical="top"/>
    </xf>
    <xf numFmtId="0" fontId="22" fillId="0" borderId="0" xfId="47" applyAlignment="1">
      <alignment vertical="top" wrapText="1"/>
    </xf>
    <xf numFmtId="0" fontId="22" fillId="43" borderId="0" xfId="47" applyFill="1" applyAlignment="1">
      <alignment vertical="top" wrapText="1"/>
    </xf>
    <xf numFmtId="0" fontId="22" fillId="43" borderId="25" xfId="47" applyFill="1" applyBorder="1" applyAlignment="1" applyProtection="1">
      <alignment vertical="top" wrapText="1"/>
      <protection locked="0"/>
    </xf>
    <xf numFmtId="0" fontId="16" fillId="0" borderId="0" xfId="48" applyFont="1"/>
    <xf numFmtId="0" fontId="1" fillId="0" borderId="0" xfId="48" applyFont="1"/>
    <xf numFmtId="0" fontId="33" fillId="0" borderId="0" xfId="50"/>
    <xf numFmtId="0" fontId="18" fillId="0" borderId="0" xfId="0" quotePrefix="1" applyFont="1"/>
    <xf numFmtId="0" fontId="0" fillId="0" borderId="0" xfId="0" applyAlignment="1"/>
    <xf numFmtId="0" fontId="0" fillId="0" borderId="0" xfId="0" applyFont="1"/>
    <xf numFmtId="167" fontId="18" fillId="0" borderId="0" xfId="0" quotePrefix="1" applyNumberFormat="1" applyFont="1"/>
    <xf numFmtId="9" fontId="18" fillId="0" borderId="0" xfId="0" applyNumberFormat="1" applyFont="1" applyAlignment="1">
      <alignment horizontal="left"/>
    </xf>
    <xf numFmtId="9" fontId="18" fillId="0" borderId="0" xfId="0" quotePrefix="1" applyNumberFormat="1" applyFont="1" applyAlignment="1">
      <alignment horizontal="left"/>
    </xf>
    <xf numFmtId="10" fontId="18" fillId="0" borderId="0" xfId="0" quotePrefix="1" applyNumberFormat="1" applyFont="1"/>
    <xf numFmtId="0" fontId="0" fillId="0" borderId="0" xfId="48" applyFont="1"/>
    <xf numFmtId="0" fontId="0" fillId="0" borderId="0" xfId="0" quotePrefix="1" applyFont="1"/>
    <xf numFmtId="0" fontId="18" fillId="0" borderId="0" xfId="48" applyFont="1"/>
    <xf numFmtId="0" fontId="18" fillId="0" borderId="0" xfId="0" quotePrefix="1" applyNumberFormat="1" applyFont="1"/>
    <xf numFmtId="0" fontId="27" fillId="0" borderId="20" xfId="0" applyNumberFormat="1" applyFont="1" applyBorder="1"/>
    <xf numFmtId="0" fontId="34" fillId="0" borderId="0" xfId="50" applyNumberFormat="1" applyFont="1"/>
    <xf numFmtId="0" fontId="18" fillId="0" borderId="21" xfId="0" applyNumberFormat="1" applyFont="1" applyBorder="1"/>
    <xf numFmtId="0" fontId="19" fillId="0" borderId="21" xfId="0" applyNumberFormat="1" applyFont="1" applyBorder="1"/>
    <xf numFmtId="0" fontId="18" fillId="0" borderId="22" xfId="0" applyNumberFormat="1" applyFont="1" applyBorder="1"/>
    <xf numFmtId="0" fontId="31" fillId="0" borderId="21" xfId="0" applyNumberFormat="1" applyFont="1" applyBorder="1"/>
    <xf numFmtId="0" fontId="25" fillId="0" borderId="21" xfId="44" applyNumberFormat="1" applyFont="1" applyBorder="1" applyAlignment="1">
      <alignment horizontal="left" vertical="top"/>
    </xf>
    <xf numFmtId="0" fontId="24" fillId="0" borderId="21" xfId="44" applyNumberFormat="1" applyFont="1" applyBorder="1" applyAlignment="1">
      <alignment horizontal="left" vertical="top"/>
    </xf>
    <xf numFmtId="0" fontId="30" fillId="0" borderId="21" xfId="0" applyNumberFormat="1" applyFont="1" applyBorder="1"/>
    <xf numFmtId="0" fontId="29" fillId="0" borderId="21" xfId="0" applyNumberFormat="1" applyFont="1" applyBorder="1"/>
    <xf numFmtId="0" fontId="25" fillId="0" borderId="21" xfId="44" applyNumberFormat="1" applyFont="1" applyBorder="1" applyAlignment="1">
      <alignment horizontal="left" vertical="top" wrapText="1"/>
    </xf>
    <xf numFmtId="0" fontId="18" fillId="0" borderId="21" xfId="0" applyNumberFormat="1" applyFont="1" applyBorder="1" applyAlignment="1">
      <alignment wrapText="1"/>
    </xf>
    <xf numFmtId="0" fontId="27" fillId="0" borderId="0" xfId="0" applyFont="1" applyBorder="1"/>
    <xf numFmtId="0" fontId="34" fillId="0" borderId="18" xfId="50" applyNumberFormat="1" applyFont="1" applyBorder="1"/>
    <xf numFmtId="3" fontId="18" fillId="41" borderId="0" xfId="0" applyNumberFormat="1" applyFont="1" applyFill="1" applyBorder="1" applyAlignment="1"/>
    <xf numFmtId="166" fontId="22" fillId="41" borderId="0" xfId="44" applyNumberFormat="1" applyFont="1" applyFill="1" applyBorder="1" applyAlignment="1"/>
    <xf numFmtId="165" fontId="18" fillId="41" borderId="19" xfId="2" applyNumberFormat="1" applyFont="1" applyFill="1" applyBorder="1" applyAlignment="1"/>
    <xf numFmtId="3" fontId="19" fillId="41" borderId="0" xfId="0" applyNumberFormat="1" applyFont="1" applyFill="1" applyBorder="1" applyAlignment="1"/>
    <xf numFmtId="166" fontId="23" fillId="41" borderId="0" xfId="44" applyNumberFormat="1" applyFont="1" applyFill="1" applyBorder="1" applyAlignment="1"/>
    <xf numFmtId="165" fontId="19" fillId="41" borderId="19" xfId="2" applyNumberFormat="1" applyFont="1" applyFill="1" applyBorder="1" applyAlignment="1"/>
    <xf numFmtId="0" fontId="22" fillId="39" borderId="18" xfId="44" applyNumberFormat="1" applyFont="1" applyFill="1" applyBorder="1" applyAlignment="1"/>
    <xf numFmtId="3" fontId="18" fillId="39" borderId="0" xfId="0" applyNumberFormat="1" applyFont="1" applyFill="1" applyBorder="1" applyAlignment="1"/>
    <xf numFmtId="166" fontId="22" fillId="39" borderId="0" xfId="44" applyNumberFormat="1" applyFont="1" applyFill="1" applyBorder="1" applyAlignment="1"/>
    <xf numFmtId="165" fontId="18" fillId="39" borderId="19" xfId="2" applyNumberFormat="1" applyFont="1" applyFill="1" applyBorder="1" applyAlignment="1"/>
    <xf numFmtId="0" fontId="23" fillId="39" borderId="18" xfId="44" applyNumberFormat="1" applyFont="1" applyFill="1" applyBorder="1" applyAlignment="1"/>
    <xf numFmtId="3" fontId="19" fillId="39" borderId="0" xfId="0" applyNumberFormat="1" applyFont="1" applyFill="1" applyBorder="1" applyAlignment="1"/>
    <xf numFmtId="166" fontId="23" fillId="39" borderId="0" xfId="44" applyNumberFormat="1" applyFont="1" applyFill="1" applyBorder="1" applyAlignment="1"/>
    <xf numFmtId="165" fontId="19" fillId="39" borderId="19" xfId="2" applyNumberFormat="1" applyFont="1" applyFill="1" applyBorder="1" applyAlignment="1"/>
    <xf numFmtId="0" fontId="22" fillId="37" borderId="18" xfId="44" applyNumberFormat="1" applyFont="1" applyFill="1" applyBorder="1" applyAlignment="1"/>
    <xf numFmtId="3" fontId="18" fillId="37" borderId="0" xfId="0" applyNumberFormat="1" applyFont="1" applyFill="1" applyBorder="1" applyAlignment="1"/>
    <xf numFmtId="166" fontId="22" fillId="37" borderId="0" xfId="44" applyNumberFormat="1" applyFont="1" applyFill="1" applyBorder="1" applyAlignment="1"/>
    <xf numFmtId="165" fontId="18" fillId="37" borderId="19" xfId="2" applyNumberFormat="1" applyFont="1" applyFill="1" applyBorder="1" applyAlignment="1"/>
    <xf numFmtId="0" fontId="23" fillId="37" borderId="18" xfId="44" applyNumberFormat="1" applyFont="1" applyFill="1" applyBorder="1" applyAlignment="1"/>
    <xf numFmtId="3" fontId="19" fillId="37" borderId="0" xfId="0" applyNumberFormat="1" applyFont="1" applyFill="1" applyBorder="1" applyAlignment="1"/>
    <xf numFmtId="166" fontId="23" fillId="37" borderId="0" xfId="44" applyNumberFormat="1" applyFont="1" applyFill="1" applyBorder="1" applyAlignment="1"/>
    <xf numFmtId="165" fontId="19" fillId="37" borderId="19" xfId="2" applyNumberFormat="1" applyFont="1" applyFill="1" applyBorder="1" applyAlignment="1"/>
    <xf numFmtId="0" fontId="28" fillId="0" borderId="18" xfId="0" applyFont="1" applyBorder="1" applyAlignment="1"/>
    <xf numFmtId="0" fontId="28" fillId="0" borderId="0" xfId="0" applyFont="1" applyBorder="1" applyAlignment="1"/>
    <xf numFmtId="164" fontId="18" fillId="0" borderId="13" xfId="1" applyNumberFormat="1" applyFont="1" applyBorder="1"/>
    <xf numFmtId="164" fontId="18" fillId="0" borderId="0" xfId="1" applyNumberFormat="1" applyFont="1" applyBorder="1"/>
    <xf numFmtId="164" fontId="18" fillId="0" borderId="0" xfId="1" applyNumberFormat="1" applyFont="1" applyFill="1" applyBorder="1" applyAlignment="1">
      <alignment horizontal="center" vertical="center" wrapText="1"/>
    </xf>
    <xf numFmtId="164" fontId="18" fillId="0" borderId="16" xfId="1" applyNumberFormat="1" applyFont="1" applyBorder="1"/>
    <xf numFmtId="164" fontId="18" fillId="35" borderId="0" xfId="1" applyNumberFormat="1" applyFont="1" applyFill="1" applyBorder="1"/>
    <xf numFmtId="164" fontId="19" fillId="35" borderId="0" xfId="1" applyNumberFormat="1" applyFont="1" applyFill="1" applyBorder="1"/>
    <xf numFmtId="164" fontId="18" fillId="33" borderId="0" xfId="1" applyNumberFormat="1" applyFont="1" applyFill="1" applyBorder="1"/>
    <xf numFmtId="164" fontId="19" fillId="33" borderId="0" xfId="1" applyNumberFormat="1" applyFont="1" applyFill="1" applyBorder="1"/>
    <xf numFmtId="164" fontId="18" fillId="34" borderId="0" xfId="1" applyNumberFormat="1" applyFont="1" applyFill="1" applyBorder="1"/>
    <xf numFmtId="164" fontId="19" fillId="34" borderId="0" xfId="1" applyNumberFormat="1" applyFont="1" applyFill="1" applyBorder="1"/>
    <xf numFmtId="164" fontId="19" fillId="0" borderId="0" xfId="2" applyNumberFormat="1" applyFont="1" applyBorder="1"/>
    <xf numFmtId="164" fontId="18" fillId="0" borderId="13" xfId="0" applyNumberFormat="1" applyFont="1" applyBorder="1"/>
    <xf numFmtId="164" fontId="18" fillId="0" borderId="0" xfId="0" applyNumberFormat="1" applyFont="1" applyBorder="1"/>
    <xf numFmtId="164" fontId="18" fillId="0" borderId="16" xfId="0" applyNumberFormat="1" applyFont="1" applyBorder="1"/>
    <xf numFmtId="164" fontId="18" fillId="40" borderId="0" xfId="1" applyNumberFormat="1" applyFont="1" applyFill="1" applyBorder="1"/>
    <xf numFmtId="164" fontId="19" fillId="40" borderId="0" xfId="0" applyNumberFormat="1" applyFont="1" applyFill="1" applyBorder="1"/>
    <xf numFmtId="164" fontId="18" fillId="38" borderId="0" xfId="1" applyNumberFormat="1" applyFont="1" applyFill="1" applyBorder="1"/>
    <xf numFmtId="164" fontId="19" fillId="38" borderId="0" xfId="0" applyNumberFormat="1" applyFont="1" applyFill="1" applyBorder="1"/>
    <xf numFmtId="164" fontId="18" fillId="36" borderId="0" xfId="1" applyNumberFormat="1" applyFont="1" applyFill="1" applyBorder="1"/>
    <xf numFmtId="164" fontId="19" fillId="36" borderId="0" xfId="0" applyNumberFormat="1" applyFont="1" applyFill="1" applyBorder="1"/>
    <xf numFmtId="164" fontId="18" fillId="0" borderId="0" xfId="0" applyNumberFormat="1" applyFont="1"/>
    <xf numFmtId="164" fontId="22" fillId="41" borderId="0" xfId="44" applyNumberFormat="1" applyFont="1" applyFill="1" applyBorder="1" applyAlignment="1"/>
    <xf numFmtId="164" fontId="23" fillId="41" borderId="0" xfId="44" applyNumberFormat="1" applyFont="1" applyFill="1" applyBorder="1" applyAlignment="1"/>
    <xf numFmtId="164" fontId="22" fillId="39" borderId="0" xfId="44" applyNumberFormat="1" applyFont="1" applyFill="1" applyBorder="1" applyAlignment="1"/>
    <xf numFmtId="164" fontId="23" fillId="39" borderId="0" xfId="44" applyNumberFormat="1" applyFont="1" applyFill="1" applyBorder="1" applyAlignment="1"/>
    <xf numFmtId="164" fontId="22" fillId="37" borderId="0" xfId="44" applyNumberFormat="1" applyFont="1" applyFill="1" applyBorder="1" applyAlignment="1"/>
    <xf numFmtId="164" fontId="23" fillId="37" borderId="0" xfId="44" applyNumberFormat="1" applyFont="1" applyFill="1" applyBorder="1" applyAlignment="1"/>
    <xf numFmtId="0" fontId="28" fillId="0" borderId="18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3" fontId="18" fillId="41" borderId="18" xfId="0" applyNumberFormat="1" applyFont="1" applyFill="1" applyBorder="1" applyAlignment="1">
      <alignment horizontal="center"/>
    </xf>
    <xf numFmtId="3" fontId="18" fillId="41" borderId="0" xfId="0" applyNumberFormat="1" applyFont="1" applyFill="1" applyBorder="1" applyAlignment="1">
      <alignment horizontal="center"/>
    </xf>
    <xf numFmtId="3" fontId="18" fillId="41" borderId="19" xfId="0" applyNumberFormat="1" applyFont="1" applyFill="1" applyBorder="1" applyAlignment="1">
      <alignment horizontal="center"/>
    </xf>
    <xf numFmtId="3" fontId="18" fillId="40" borderId="18" xfId="1" applyNumberFormat="1" applyFont="1" applyFill="1" applyBorder="1" applyAlignment="1">
      <alignment horizontal="center"/>
    </xf>
    <xf numFmtId="3" fontId="18" fillId="40" borderId="0" xfId="1" applyNumberFormat="1" applyFont="1" applyFill="1" applyBorder="1" applyAlignment="1">
      <alignment horizontal="center"/>
    </xf>
    <xf numFmtId="3" fontId="18" fillId="40" borderId="19" xfId="1" applyNumberFormat="1" applyFont="1" applyFill="1" applyBorder="1" applyAlignment="1">
      <alignment horizontal="center"/>
    </xf>
    <xf numFmtId="3" fontId="18" fillId="38" borderId="18" xfId="1" applyNumberFormat="1" applyFont="1" applyFill="1" applyBorder="1" applyAlignment="1">
      <alignment horizontal="center"/>
    </xf>
    <xf numFmtId="3" fontId="18" fillId="38" borderId="0" xfId="1" applyNumberFormat="1" applyFont="1" applyFill="1" applyBorder="1" applyAlignment="1">
      <alignment horizontal="center"/>
    </xf>
    <xf numFmtId="3" fontId="18" fillId="38" borderId="19" xfId="1" applyNumberFormat="1" applyFont="1" applyFill="1" applyBorder="1" applyAlignment="1">
      <alignment horizontal="center"/>
    </xf>
    <xf numFmtId="3" fontId="18" fillId="39" borderId="18" xfId="0" applyNumberFormat="1" applyFont="1" applyFill="1" applyBorder="1" applyAlignment="1">
      <alignment horizontal="center"/>
    </xf>
    <xf numFmtId="3" fontId="18" fillId="39" borderId="0" xfId="0" applyNumberFormat="1" applyFont="1" applyFill="1" applyBorder="1" applyAlignment="1">
      <alignment horizontal="center"/>
    </xf>
    <xf numFmtId="3" fontId="18" fillId="39" borderId="19" xfId="0" applyNumberFormat="1" applyFont="1" applyFill="1" applyBorder="1" applyAlignment="1">
      <alignment horizontal="center"/>
    </xf>
    <xf numFmtId="3" fontId="18" fillId="37" borderId="18" xfId="0" applyNumberFormat="1" applyFont="1" applyFill="1" applyBorder="1" applyAlignment="1">
      <alignment horizontal="center"/>
    </xf>
    <xf numFmtId="3" fontId="18" fillId="37" borderId="0" xfId="0" applyNumberFormat="1" applyFont="1" applyFill="1" applyBorder="1" applyAlignment="1">
      <alignment horizontal="center"/>
    </xf>
    <xf numFmtId="3" fontId="18" fillId="37" borderId="19" xfId="0" applyNumberFormat="1" applyFont="1" applyFill="1" applyBorder="1" applyAlignment="1">
      <alignment horizontal="center"/>
    </xf>
    <xf numFmtId="3" fontId="18" fillId="36" borderId="18" xfId="1" applyNumberFormat="1" applyFont="1" applyFill="1" applyBorder="1" applyAlignment="1">
      <alignment horizontal="center"/>
    </xf>
    <xf numFmtId="3" fontId="18" fillId="36" borderId="0" xfId="1" applyNumberFormat="1" applyFont="1" applyFill="1" applyBorder="1" applyAlignment="1">
      <alignment horizontal="center"/>
    </xf>
    <xf numFmtId="3" fontId="18" fillId="36" borderId="19" xfId="1" applyNumberFormat="1" applyFont="1" applyFill="1" applyBorder="1" applyAlignment="1">
      <alignment horizontal="center"/>
    </xf>
  </cellXfs>
  <cellStyles count="51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1" builtinId="3"/>
    <cellStyle name="Link" xfId="50" builtinId="8"/>
    <cellStyle name="Neutral" xfId="10" builtinId="28" customBuiltin="1"/>
    <cellStyle name="Normal 2" xfId="48"/>
    <cellStyle name="Notiz" xfId="17" builtinId="10" customBuiltin="1"/>
    <cellStyle name="Percent 2" xfId="46"/>
    <cellStyle name="Prozent" xfId="2" builtinId="5"/>
    <cellStyle name="Prozent 2" xfId="45"/>
    <cellStyle name="Schlecht" xfId="9" builtinId="27" customBuiltin="1"/>
    <cellStyle name="Standard" xfId="0" builtinId="0"/>
    <cellStyle name="Standard 2" xfId="44"/>
    <cellStyle name="Standard 2 2" xfId="47"/>
    <cellStyle name="Standard 3" xfId="49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6882E"/>
      <color rgb="FFB2CCEC"/>
      <color rgb="FF8AB2E2"/>
      <color rgb="FFCAE8AA"/>
      <color rgb="FFB6DF89"/>
      <color rgb="FFF9AD6F"/>
      <color rgb="FF99CC00"/>
      <color rgb="FF6699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16" fmlaLink="Translation!$B$5" fmlaRange="Translation!$A$1:$A$2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</xdr:row>
          <xdr:rowOff>47625</xdr:rowOff>
        </xdr:from>
        <xdr:to>
          <xdr:col>8</xdr:col>
          <xdr:colOff>257175</xdr:colOff>
          <xdr:row>7</xdr:row>
          <xdr:rowOff>152400</xdr:rowOff>
        </xdr:to>
        <xdr:sp macro="" textlink="">
          <xdr:nvSpPr>
            <xdr:cNvPr id="82945" name="List Box 1" hidden="1">
              <a:extLst>
                <a:ext uri="{63B3BB69-23CF-44E3-9099-C40C66FF867C}">
                  <a14:compatExt spid="_x0000_s82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hyperlink" Target="http://www.oak-bv.admin.ch/fr/themes/recensement-situation-financiere/index.html" TargetMode="External"/><Relationship Id="rId1" Type="http://schemas.openxmlformats.org/officeDocument/2006/relationships/hyperlink" Target="http://www.oak-bv.admin.ch/de/themen/erhebung-finanzielle-lage/index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6">
    <pageSetUpPr fitToPage="1"/>
  </sheetPr>
  <dimension ref="A1:I39"/>
  <sheetViews>
    <sheetView tabSelected="1" workbookViewId="0"/>
  </sheetViews>
  <sheetFormatPr baseColWidth="10" defaultRowHeight="14.25" x14ac:dyDescent="0.2"/>
  <sheetData>
    <row r="1" spans="1:9" ht="18" x14ac:dyDescent="0.25">
      <c r="A1" s="121" t="str">
        <f>Translation!$A$12</f>
        <v>Données exploitées concernant le rapport sur la situation financière des institutions de prévoyance 2014</v>
      </c>
    </row>
    <row r="3" spans="1:9" x14ac:dyDescent="0.2">
      <c r="A3" t="str">
        <f>Translation!$A$13</f>
        <v>pour de plus amples informations, voir</v>
      </c>
    </row>
    <row r="4" spans="1:9" x14ac:dyDescent="0.2">
      <c r="A4" t="str">
        <f>Translation!$A$14</f>
        <v>http://www.oak-bv.admin.ch/fr/themes/recensement-situation-financiere/index.html</v>
      </c>
    </row>
    <row r="5" spans="1:9" ht="15" thickBot="1" x14ac:dyDescent="0.25"/>
    <row r="6" spans="1:9" x14ac:dyDescent="0.2">
      <c r="B6" s="78"/>
      <c r="C6" s="79"/>
      <c r="D6" s="79"/>
      <c r="E6" s="79"/>
      <c r="F6" s="79"/>
      <c r="G6" s="79"/>
      <c r="H6" s="79"/>
      <c r="I6" s="80"/>
    </row>
    <row r="7" spans="1:9" x14ac:dyDescent="0.2">
      <c r="B7" s="81"/>
      <c r="C7" s="82" t="s">
        <v>178</v>
      </c>
      <c r="D7" s="82"/>
      <c r="E7" s="82"/>
      <c r="F7" s="82"/>
      <c r="G7" s="82"/>
      <c r="H7" s="82"/>
      <c r="I7" s="83"/>
    </row>
    <row r="8" spans="1:9" x14ac:dyDescent="0.2">
      <c r="B8" s="81"/>
      <c r="C8" s="82" t="s">
        <v>179</v>
      </c>
      <c r="D8" s="82"/>
      <c r="E8" s="82"/>
      <c r="F8" s="82"/>
      <c r="G8" s="82"/>
      <c r="H8" s="82"/>
      <c r="I8" s="83"/>
    </row>
    <row r="9" spans="1:9" ht="15" thickBot="1" x14ac:dyDescent="0.25">
      <c r="B9" s="84"/>
      <c r="C9" s="85"/>
      <c r="D9" s="85"/>
      <c r="E9" s="85"/>
      <c r="F9" s="85"/>
      <c r="G9" s="85"/>
      <c r="H9" s="85"/>
      <c r="I9" s="86"/>
    </row>
    <row r="12" spans="1:9" x14ac:dyDescent="0.2">
      <c r="B12" t="str">
        <f>Translation!$A$24&amp;" 1"</f>
        <v>Figure 1</v>
      </c>
      <c r="D12" s="97" t="str">
        <f>'1'!$A$1</f>
        <v>Risque global</v>
      </c>
    </row>
    <row r="13" spans="1:9" x14ac:dyDescent="0.2">
      <c r="B13" t="str">
        <f>Translation!$A$24&amp;" 2"</f>
        <v>Figure 2</v>
      </c>
      <c r="D13" s="97" t="str">
        <f>'2'!$A$1</f>
        <v>Risque lié au taux de couverture</v>
      </c>
    </row>
    <row r="14" spans="1:9" x14ac:dyDescent="0.2">
      <c r="B14" t="str">
        <f>Translation!$A$24&amp;" 3"</f>
        <v>Figure 3</v>
      </c>
      <c r="D14" s="97" t="str">
        <f>'3'!$A$1</f>
        <v>Risque lié à la promesse d'intérêts</v>
      </c>
    </row>
    <row r="15" spans="1:9" x14ac:dyDescent="0.2">
      <c r="B15" t="str">
        <f>Translation!$A$24&amp;" 4"</f>
        <v>Figure 4</v>
      </c>
      <c r="D15" s="97" t="str">
        <f>'4'!$A$1</f>
        <v>Risque lié à la capacité d'assainissement</v>
      </c>
    </row>
    <row r="16" spans="1:9" x14ac:dyDescent="0.2">
      <c r="B16" t="str">
        <f>Translation!$A$24&amp;" 5"</f>
        <v>Figure 5</v>
      </c>
      <c r="D16" s="97" t="str">
        <f>'5'!$A$1</f>
        <v>Risque lié à la stratégie de placement</v>
      </c>
    </row>
    <row r="17" spans="2:4" x14ac:dyDescent="0.2">
      <c r="B17" t="str">
        <f>Translation!$A$24&amp;" 15"</f>
        <v>Figure 15</v>
      </c>
      <c r="D17" s="97" t="str">
        <f>'15'!$A$1</f>
        <v>Intérêt servi sur l’avoir de vieillesse</v>
      </c>
    </row>
    <row r="18" spans="2:4" x14ac:dyDescent="0.2">
      <c r="B18" t="str">
        <f>Translation!$A$24&amp;" 16"</f>
        <v>Figure 16</v>
      </c>
      <c r="D18" s="97" t="str">
        <f>'16'!$A$1</f>
        <v xml:space="preserve">Taux d'intérêt technique </v>
      </c>
    </row>
    <row r="19" spans="2:4" x14ac:dyDescent="0.2">
      <c r="B19" t="str">
        <f>Translation!$A$24&amp;" 17"</f>
        <v>Figure 17</v>
      </c>
      <c r="D19" s="97" t="str">
        <f>'17'!$A$1</f>
        <v>Taux d'intérêt promis applicable aux futures rentes</v>
      </c>
    </row>
    <row r="20" spans="2:4" x14ac:dyDescent="0.2">
      <c r="B20" t="str">
        <f>Translation!$A$24&amp;" 19"</f>
        <v>Figure 19</v>
      </c>
      <c r="D20" s="97" t="str">
        <f>'19'!$A$1</f>
        <v>Evolution de l’intérêt technique (de 2013 à 2014)</v>
      </c>
    </row>
    <row r="21" spans="2:4" x14ac:dyDescent="0.2">
      <c r="B21" t="str">
        <f>Translation!$A$24&amp;" 20"</f>
        <v>Figure 20</v>
      </c>
      <c r="D21" s="97" t="str">
        <f>'20'!$A$1</f>
        <v>Bases biométriques</v>
      </c>
    </row>
    <row r="22" spans="2:4" x14ac:dyDescent="0.2">
      <c r="B22" t="str">
        <f>Translation!$A$24&amp;" 21"</f>
        <v>Figure 21</v>
      </c>
      <c r="D22" s="97" t="str">
        <f>'21'!$A$1</f>
        <v>Tables périodiques et tables de génération</v>
      </c>
    </row>
    <row r="23" spans="2:4" x14ac:dyDescent="0.2">
      <c r="B23" t="str">
        <f>Translation!$A$24&amp;" 22"</f>
        <v>Figure 22</v>
      </c>
      <c r="D23" s="97" t="str">
        <f>'22'!$A$1</f>
        <v>Taux de couverture calculé sur des bases individuelles</v>
      </c>
    </row>
    <row r="24" spans="2:4" x14ac:dyDescent="0.2">
      <c r="B24" t="str">
        <f>Translation!$A$24&amp;" 23"</f>
        <v>Figure 23</v>
      </c>
      <c r="D24" s="97" t="str">
        <f>'23'!$A$1</f>
        <v>Taux de couverture calculé sur des bases uniformes</v>
      </c>
    </row>
    <row r="25" spans="2:4" x14ac:dyDescent="0.2">
      <c r="B25" t="str">
        <f>Translation!$A$24&amp;" 24"</f>
        <v>Figure 24</v>
      </c>
      <c r="D25" s="97" t="str">
        <f>'24'!$A$1</f>
        <v>Primauté des cotisations et primauté des prestations pour les prestations de vieillesse</v>
      </c>
    </row>
    <row r="26" spans="2:4" x14ac:dyDescent="0.2">
      <c r="B26" t="str">
        <f>Translation!$A$24&amp;" 25"</f>
        <v>Figure 25</v>
      </c>
      <c r="D26" s="97" t="str">
        <f>'25'!$A$1</f>
        <v>Augmentation du taux de couverture par année en cas de cotisation d'assainissement équivalent à 1 % de la masse salariale de base</v>
      </c>
    </row>
    <row r="27" spans="2:4" x14ac:dyDescent="0.2">
      <c r="B27" t="str">
        <f>Translation!$A$24&amp;" 26"</f>
        <v>Figure 26</v>
      </c>
      <c r="D27" s="97" t="str">
        <f>'26'!$A$1</f>
        <v>Part des avoirs de vieillesse LPP</v>
      </c>
    </row>
    <row r="28" spans="2:4" x14ac:dyDescent="0.2">
      <c r="B28" t="str">
        <f>Translation!$A$24&amp;" 27"</f>
        <v>Figure 27</v>
      </c>
      <c r="D28" s="97" t="str">
        <f>'27'!$A$1</f>
        <v>Augmentation du taux de couverture par année en cas de réduction de 1 % de la rémunération des avoirs de vieillesse</v>
      </c>
    </row>
    <row r="29" spans="2:4" x14ac:dyDescent="0.2">
      <c r="B29" t="str">
        <f>Translation!$A$24&amp;" 28"</f>
        <v>Figure 28</v>
      </c>
      <c r="D29" s="97" t="str">
        <f>'28'!$A$1</f>
        <v>Stratégie de placement : distribution des principales catégories</v>
      </c>
    </row>
    <row r="30" spans="2:4" x14ac:dyDescent="0.2">
      <c r="B30" t="str">
        <f>Translation!$A$24&amp;" 29"</f>
        <v>Figure 29</v>
      </c>
      <c r="D30" s="97" t="str">
        <f>'29'!$A$1</f>
        <v>Part des valeurs réelles dans les stratégies de placement</v>
      </c>
    </row>
    <row r="31" spans="2:4" x14ac:dyDescent="0.2">
      <c r="B31" t="str">
        <f>Translation!$A$24&amp;" 31"</f>
        <v>Figure 31</v>
      </c>
      <c r="D31" s="97" t="str">
        <f>'31'!$A$1</f>
        <v>Exposition au risque de change</v>
      </c>
    </row>
    <row r="32" spans="2:4" x14ac:dyDescent="0.2">
      <c r="B32" t="str">
        <f>Translation!$A$24&amp;" 32"</f>
        <v>Figure 32</v>
      </c>
      <c r="D32" s="97" t="str">
        <f>'32'!$A$1</f>
        <v>Volatilité attendue</v>
      </c>
    </row>
    <row r="33" spans="2:4" x14ac:dyDescent="0.2">
      <c r="B33" t="str">
        <f>Translation!$A$24&amp;" 33"</f>
        <v>Figure 33</v>
      </c>
      <c r="D33" s="97" t="str">
        <f>'33'!$A$1</f>
        <v>Objectif des réserves de fluctuation de valeur</v>
      </c>
    </row>
    <row r="34" spans="2:4" x14ac:dyDescent="0.2">
      <c r="B34" t="str">
        <f>Translation!$A$24&amp;" 34"</f>
        <v>Figure 34</v>
      </c>
      <c r="D34" s="97" t="str">
        <f>'1'!$A$1</f>
        <v>Risque global</v>
      </c>
    </row>
    <row r="35" spans="2:4" x14ac:dyDescent="0.2">
      <c r="B35" t="str">
        <f>Translation!$A$24&amp;" 36"</f>
        <v>Figure 36</v>
      </c>
      <c r="D35" s="97" t="str">
        <f>'36'!$A$1</f>
        <v>Forme juridique</v>
      </c>
    </row>
    <row r="36" spans="2:4" x14ac:dyDescent="0.2">
      <c r="B36" t="str">
        <f>Translation!$A$24&amp;" 37"</f>
        <v>Figure 37</v>
      </c>
      <c r="D36" s="97" t="str">
        <f>'37'!$A$1</f>
        <v>Employeur et forme de garantie</v>
      </c>
    </row>
    <row r="37" spans="2:4" x14ac:dyDescent="0.2">
      <c r="B37" t="str">
        <f>Translation!$A$24&amp;" 38"</f>
        <v>Figure 38</v>
      </c>
      <c r="D37" s="97" t="str">
        <f>'38'!$A$1</f>
        <v>Couverture d'assurance</v>
      </c>
    </row>
    <row r="38" spans="2:4" x14ac:dyDescent="0.2">
      <c r="B38" t="str">
        <f>Translation!$A$24&amp;" 39"</f>
        <v>Figure 39</v>
      </c>
      <c r="D38" s="97" t="str">
        <f>'39'!$A$1</f>
        <v>Enregistrement et étendue des prestations</v>
      </c>
    </row>
    <row r="39" spans="2:4" x14ac:dyDescent="0.2">
      <c r="B39" t="str">
        <f>Translation!$A$24&amp;" 40"</f>
        <v>Figure 40</v>
      </c>
      <c r="D39" s="97" t="str">
        <f>'40'!$A$1</f>
        <v>Forme administrative</v>
      </c>
    </row>
  </sheetData>
  <hyperlinks>
    <hyperlink ref="D12" location="'1'!A1" display="'1'!A1"/>
    <hyperlink ref="D13" location="'2'!A1" display="'2'!A1"/>
    <hyperlink ref="D14" location="'3'!A1" display="'3'!A1"/>
    <hyperlink ref="D15" location="'4'!A1" display="'4'!A1"/>
    <hyperlink ref="D16" location="'5'!A1" display="'5'!A1"/>
    <hyperlink ref="D29" location="'28'!A1" display="'28'!A1"/>
    <hyperlink ref="D17" location="'15'!A1" display="'15'!A1"/>
    <hyperlink ref="D18" location="'16'!A1" display="'16'!A1"/>
    <hyperlink ref="D19" location="'17'!A1" display="'17'!A1"/>
    <hyperlink ref="D20" location="'19'!A1" display="'19'!A1"/>
    <hyperlink ref="D21" location="'20'!A1" display="'20'!A1"/>
    <hyperlink ref="D22" location="'21'!A1" display="'21'!A1"/>
    <hyperlink ref="D23" location="'22'!A1" display="'22'!A1"/>
    <hyperlink ref="D24" location="'23'!A1" display="'23'!A1"/>
    <hyperlink ref="D25" location="'24'!A1" display="'24'!A1"/>
    <hyperlink ref="D26" location="'25'!A1" display="'25'!A1"/>
    <hyperlink ref="D27" location="'26'!A1" display="'26'!A1"/>
    <hyperlink ref="D28" location="'27'!A1" display="'27'!A1"/>
    <hyperlink ref="D30" location="'29'!A1" display="'29'!A1"/>
    <hyperlink ref="D31" location="'31'!A1" display="'31'!A1"/>
    <hyperlink ref="D32" location="'32'!A1" display="'32'!A1"/>
    <hyperlink ref="D33" location="'33'!A1" display="'33'!A1"/>
    <hyperlink ref="D35" location="'36'!A1" display="'36'!A1"/>
    <hyperlink ref="D36" location="'37'!A1" display="'37'!A1"/>
    <hyperlink ref="D37" location="'38'!A1" display="'38'!A1"/>
    <hyperlink ref="D38" location="'39'!A1" display="'39'!A1"/>
    <hyperlink ref="D39" location="'40'!A1" display="'40'!A1"/>
  </hyperlinks>
  <pageMargins left="0.70866141732283472" right="0.70866141732283472" top="0.78740157480314965" bottom="0.78740157480314965" header="0.31496062992125984" footer="0.31496062992125984"/>
  <pageSetup paperSize="9" scale="71" orientation="landscape" cellComments="atEnd" r:id="rId1"/>
  <headerFooter>
    <oddFooter>&amp;L&amp;10&amp;F / &amp;A&amp;C&amp;10&amp;P / &amp;N&amp;R&amp;10OAK BV - RM / 12.05.2015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945" r:id="rId4" name="List Box 1">
              <controlPr defaultSize="0" autoLine="0" autoPict="0">
                <anchor moveWithCells="1">
                  <from>
                    <xdr:col>6</xdr:col>
                    <xdr:colOff>9525</xdr:colOff>
                    <xdr:row>6</xdr:row>
                    <xdr:rowOff>47625</xdr:rowOff>
                  </from>
                  <to>
                    <xdr:col>8</xdr:col>
                    <xdr:colOff>257175</xdr:colOff>
                    <xdr:row>7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5">
    <pageSetUpPr fitToPage="1"/>
  </sheetPr>
  <dimension ref="A1:O120"/>
  <sheetViews>
    <sheetView workbookViewId="0"/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9" width="11" style="1"/>
    <col min="10" max="10" width="11" style="167"/>
    <col min="11" max="14" width="11" style="1"/>
    <col min="15" max="15" width="11" style="167"/>
    <col min="16" max="16384" width="11" style="1"/>
  </cols>
  <sheetData>
    <row r="1" spans="1:15" s="22" customFormat="1" ht="18" x14ac:dyDescent="0.25">
      <c r="A1" s="109" t="str">
        <f>Translation!$A$143</f>
        <v>Evolution de l’intérêt technique (de 2013 à 2014)</v>
      </c>
      <c r="B1" s="21"/>
      <c r="E1" s="147"/>
      <c r="F1" s="24"/>
      <c r="J1" s="158"/>
      <c r="O1" s="158"/>
    </row>
    <row r="2" spans="1:15" s="18" customFormat="1" x14ac:dyDescent="0.2">
      <c r="A2" s="110" t="str">
        <f>Translation!$A$27</f>
        <v>retour à la vue d'ensemble</v>
      </c>
      <c r="B2" s="25"/>
      <c r="E2" s="148"/>
      <c r="F2" s="27"/>
      <c r="J2" s="159"/>
      <c r="O2" s="159"/>
    </row>
    <row r="3" spans="1:15" s="18" customFormat="1" ht="15.75" x14ac:dyDescent="0.25">
      <c r="A3" s="111"/>
      <c r="B3" s="177">
        <v>2014</v>
      </c>
      <c r="C3" s="178"/>
      <c r="D3" s="178"/>
      <c r="E3" s="178"/>
      <c r="F3" s="179"/>
      <c r="J3" s="159"/>
      <c r="O3" s="159"/>
    </row>
    <row r="4" spans="1:15" s="18" customFormat="1" ht="38.25" x14ac:dyDescent="0.2">
      <c r="A4" s="112"/>
      <c r="B4" s="28" t="str">
        <f>Translation!$A$40</f>
        <v>Nombre d'IP</v>
      </c>
      <c r="C4" s="19" t="str">
        <f>Translation!$A$41</f>
        <v>Nombre d'assurés actifs</v>
      </c>
      <c r="D4" s="19" t="str">
        <f>Translation!$A$42</f>
        <v>Nombre de rentiers</v>
      </c>
      <c r="E4" s="149" t="str">
        <f>Translation!$A$43</f>
        <v>Somme du bilan</v>
      </c>
      <c r="F4" s="29" t="str">
        <f>Translation!$A$46</f>
        <v>Part de la somme du bilan</v>
      </c>
      <c r="J4" s="159"/>
      <c r="O4" s="159"/>
    </row>
    <row r="5" spans="1:15" s="60" customFormat="1" ht="13.5" thickBot="1" x14ac:dyDescent="0.25">
      <c r="A5" s="113"/>
      <c r="B5" s="59"/>
      <c r="E5" s="150"/>
      <c r="F5" s="62"/>
      <c r="J5" s="160"/>
      <c r="O5" s="160"/>
    </row>
    <row r="7" spans="1:15" ht="12.75" hidden="1" customHeight="1" x14ac:dyDescent="0.2"/>
    <row r="8" spans="1:15" ht="12.75" hidden="1" customHeight="1" x14ac:dyDescent="0.2"/>
    <row r="9" spans="1:15" ht="12.75" hidden="1" customHeight="1" x14ac:dyDescent="0.2"/>
    <row r="11" spans="1:15" x14ac:dyDescent="0.2">
      <c r="A11" s="114" t="str">
        <f>Translation!$A$28</f>
        <v>toutes les institutions de prévoyance</v>
      </c>
      <c r="E11" s="157"/>
    </row>
    <row r="12" spans="1:15" x14ac:dyDescent="0.2">
      <c r="A12" s="115" t="str">
        <f>Translation!$A144</f>
        <v>Non défini</v>
      </c>
      <c r="B12" s="30">
        <v>460</v>
      </c>
      <c r="C12" s="6">
        <v>1567972</v>
      </c>
      <c r="D12" s="6">
        <v>92065</v>
      </c>
      <c r="E12" s="151">
        <v>152572.78700000001</v>
      </c>
      <c r="F12" s="31">
        <f t="shared" ref="F12:F19" si="0">E12/E$36</f>
        <v>0.18559033390115171</v>
      </c>
    </row>
    <row r="13" spans="1:15" x14ac:dyDescent="0.2">
      <c r="A13" s="115" t="str">
        <f>Translation!$A145</f>
        <v>0,01 % et plus</v>
      </c>
      <c r="B13" s="30">
        <v>9</v>
      </c>
      <c r="C13" s="6">
        <v>2523</v>
      </c>
      <c r="D13" s="6">
        <v>434</v>
      </c>
      <c r="E13" s="151">
        <v>690.49</v>
      </c>
      <c r="F13" s="31">
        <f t="shared" si="0"/>
        <v>8.3991563748131719E-4</v>
      </c>
    </row>
    <row r="14" spans="1:15" x14ac:dyDescent="0.2">
      <c r="A14" s="115" t="str">
        <f>Translation!$A146</f>
        <v>Inchangé</v>
      </c>
      <c r="B14" s="30">
        <v>947</v>
      </c>
      <c r="C14" s="6">
        <v>1940105</v>
      </c>
      <c r="D14" s="6">
        <v>590099</v>
      </c>
      <c r="E14" s="151">
        <v>506809.53700000001</v>
      </c>
      <c r="F14" s="31">
        <f t="shared" si="0"/>
        <v>0.61648576424128698</v>
      </c>
    </row>
    <row r="15" spans="1:15" x14ac:dyDescent="0.2">
      <c r="A15" s="115" t="str">
        <f>Translation!$A147</f>
        <v>De -0,01 à -0,25 %</v>
      </c>
      <c r="B15" s="30">
        <v>104</v>
      </c>
      <c r="C15" s="6">
        <v>184569</v>
      </c>
      <c r="D15" s="6">
        <v>46265</v>
      </c>
      <c r="E15" s="151">
        <v>35181.873</v>
      </c>
      <c r="F15" s="31">
        <f t="shared" si="0"/>
        <v>4.2795413820014401E-2</v>
      </c>
    </row>
    <row r="16" spans="1:15" x14ac:dyDescent="0.2">
      <c r="A16" s="115" t="str">
        <f>Translation!$A148</f>
        <v>De -0,26 à -0,50 %</v>
      </c>
      <c r="B16" s="30">
        <v>241</v>
      </c>
      <c r="C16" s="6">
        <v>204655</v>
      </c>
      <c r="D16" s="6">
        <v>88704</v>
      </c>
      <c r="E16" s="151">
        <v>76304.592000000004</v>
      </c>
      <c r="F16" s="31">
        <f t="shared" si="0"/>
        <v>9.2817303700896206E-2</v>
      </c>
    </row>
    <row r="17" spans="1:6" ht="12.75" customHeight="1" x14ac:dyDescent="0.2">
      <c r="A17" s="111" t="str">
        <f>Translation!$A149</f>
        <v>De -0,51 à -0,75 %</v>
      </c>
      <c r="B17" s="30">
        <v>22</v>
      </c>
      <c r="C17" s="6">
        <v>22623</v>
      </c>
      <c r="D17" s="6">
        <v>7446</v>
      </c>
      <c r="E17" s="151">
        <v>7293.2790000000005</v>
      </c>
      <c r="F17" s="31">
        <f t="shared" si="0"/>
        <v>8.8715826161336209E-3</v>
      </c>
    </row>
    <row r="18" spans="1:6" ht="12.75" customHeight="1" x14ac:dyDescent="0.2">
      <c r="A18" s="111" t="str">
        <f>Translation!$A150</f>
        <v>De -0,76 à -1,00 %</v>
      </c>
      <c r="B18" s="30">
        <v>54</v>
      </c>
      <c r="C18" s="6">
        <v>79031</v>
      </c>
      <c r="D18" s="6">
        <v>42021</v>
      </c>
      <c r="E18" s="151">
        <v>41925.749000000003</v>
      </c>
      <c r="F18" s="31">
        <f t="shared" si="0"/>
        <v>5.09986997613531E-2</v>
      </c>
    </row>
    <row r="19" spans="1:6" ht="12.75" customHeight="1" x14ac:dyDescent="0.2">
      <c r="A19" s="111" t="str">
        <f>Translation!$A155</f>
        <v>-1,01 % et moins</v>
      </c>
      <c r="B19" s="30">
        <v>8</v>
      </c>
      <c r="C19" s="6">
        <v>2559</v>
      </c>
      <c r="D19" s="6">
        <v>1784</v>
      </c>
      <c r="E19" s="151">
        <v>1316.162</v>
      </c>
      <c r="F19" s="31">
        <f t="shared" si="0"/>
        <v>1.600986321682697E-3</v>
      </c>
    </row>
    <row r="20" spans="1:6" ht="12.75" hidden="1" customHeight="1" x14ac:dyDescent="0.2">
      <c r="B20" s="30"/>
      <c r="C20" s="6"/>
      <c r="D20" s="6"/>
      <c r="E20" s="151"/>
      <c r="F20" s="31"/>
    </row>
    <row r="21" spans="1:6" ht="12.75" hidden="1" customHeight="1" x14ac:dyDescent="0.2">
      <c r="B21" s="30"/>
      <c r="C21" s="6"/>
      <c r="D21" s="6"/>
      <c r="E21" s="151"/>
      <c r="F21" s="31"/>
    </row>
    <row r="22" spans="1:6" ht="12.75" hidden="1" customHeight="1" x14ac:dyDescent="0.2">
      <c r="B22" s="30"/>
      <c r="C22" s="6"/>
      <c r="D22" s="6"/>
      <c r="E22" s="151"/>
      <c r="F22" s="31"/>
    </row>
    <row r="23" spans="1:6" ht="12.75" hidden="1" customHeight="1" x14ac:dyDescent="0.2">
      <c r="B23" s="30"/>
      <c r="C23" s="6"/>
      <c r="D23" s="6"/>
      <c r="E23" s="151"/>
      <c r="F23" s="31"/>
    </row>
    <row r="24" spans="1:6" ht="12.75" hidden="1" customHeight="1" x14ac:dyDescent="0.2">
      <c r="B24" s="30"/>
      <c r="C24" s="6"/>
      <c r="D24" s="6"/>
      <c r="E24" s="151"/>
      <c r="F24" s="31"/>
    </row>
    <row r="25" spans="1:6" ht="12.75" hidden="1" customHeight="1" x14ac:dyDescent="0.2">
      <c r="B25" s="30"/>
      <c r="C25" s="6"/>
      <c r="D25" s="6"/>
      <c r="E25" s="151"/>
      <c r="F25" s="31"/>
    </row>
    <row r="26" spans="1:6" ht="12.75" hidden="1" customHeight="1" x14ac:dyDescent="0.2">
      <c r="B26" s="30"/>
      <c r="C26" s="6"/>
      <c r="D26" s="6"/>
      <c r="E26" s="151"/>
      <c r="F26" s="31"/>
    </row>
    <row r="27" spans="1:6" ht="12.75" hidden="1" customHeight="1" x14ac:dyDescent="0.2">
      <c r="B27" s="30"/>
      <c r="C27" s="6"/>
      <c r="D27" s="6"/>
      <c r="E27" s="151"/>
      <c r="F27" s="31"/>
    </row>
    <row r="28" spans="1:6" ht="12.75" hidden="1" customHeight="1" x14ac:dyDescent="0.2">
      <c r="B28" s="30"/>
      <c r="C28" s="6"/>
      <c r="D28" s="6"/>
      <c r="E28" s="151"/>
      <c r="F28" s="31"/>
    </row>
    <row r="29" spans="1:6" ht="12.75" hidden="1" customHeight="1" x14ac:dyDescent="0.2">
      <c r="B29" s="30"/>
      <c r="C29" s="6"/>
      <c r="D29" s="6"/>
      <c r="E29" s="151"/>
      <c r="F29" s="31"/>
    </row>
    <row r="30" spans="1:6" ht="12.75" hidden="1" customHeight="1" x14ac:dyDescent="0.2">
      <c r="B30" s="30"/>
      <c r="C30" s="6"/>
      <c r="D30" s="6"/>
      <c r="E30" s="151"/>
      <c r="F30" s="31"/>
    </row>
    <row r="31" spans="1:6" ht="12.75" hidden="1" customHeight="1" x14ac:dyDescent="0.2">
      <c r="B31" s="30"/>
      <c r="C31" s="6"/>
      <c r="D31" s="6"/>
      <c r="E31" s="151"/>
      <c r="F31" s="31"/>
    </row>
    <row r="32" spans="1:6" ht="12.75" hidden="1" customHeight="1" x14ac:dyDescent="0.2">
      <c r="B32" s="30"/>
      <c r="C32" s="6"/>
      <c r="D32" s="6"/>
      <c r="E32" s="151"/>
      <c r="F32" s="31"/>
    </row>
    <row r="33" spans="1:6" ht="12.75" hidden="1" customHeight="1" x14ac:dyDescent="0.2">
      <c r="B33" s="30"/>
      <c r="C33" s="6"/>
      <c r="D33" s="6"/>
      <c r="E33" s="151"/>
      <c r="F33" s="31"/>
    </row>
    <row r="34" spans="1:6" ht="12.75" hidden="1" customHeight="1" x14ac:dyDescent="0.2">
      <c r="B34" s="30"/>
      <c r="C34" s="6"/>
      <c r="D34" s="6"/>
      <c r="E34" s="151"/>
      <c r="F34" s="31"/>
    </row>
    <row r="35" spans="1:6" ht="12.75" hidden="1" customHeight="1" x14ac:dyDescent="0.2">
      <c r="B35" s="30"/>
      <c r="C35" s="6"/>
      <c r="D35" s="6"/>
      <c r="E35" s="151"/>
      <c r="F35" s="31"/>
    </row>
    <row r="36" spans="1:6" x14ac:dyDescent="0.2">
      <c r="A36" s="116" t="s">
        <v>2</v>
      </c>
      <c r="B36" s="32">
        <f>SUM(B$12:B$35)</f>
        <v>1845</v>
      </c>
      <c r="C36" s="7">
        <f t="shared" ref="C36:E36" si="1">SUM(C$12:C$35)</f>
        <v>4004037</v>
      </c>
      <c r="D36" s="7">
        <f t="shared" si="1"/>
        <v>868818</v>
      </c>
      <c r="E36" s="152">
        <f t="shared" si="1"/>
        <v>822094.46900000004</v>
      </c>
      <c r="F36" s="64">
        <f>SUM(F$12:F$35)</f>
        <v>1</v>
      </c>
    </row>
    <row r="39" spans="1:6" ht="12.75" hidden="1" customHeight="1" x14ac:dyDescent="0.2"/>
    <row r="40" spans="1:6" ht="12.75" hidden="1" customHeight="1" x14ac:dyDescent="0.2"/>
    <row r="41" spans="1:6" ht="12.75" hidden="1" customHeight="1" x14ac:dyDescent="0.2"/>
    <row r="42" spans="1:6" ht="12.75" hidden="1" customHeight="1" x14ac:dyDescent="0.2"/>
    <row r="43" spans="1:6" ht="12.75" hidden="1" customHeight="1" x14ac:dyDescent="0.2"/>
    <row r="44" spans="1:6" ht="12.75" hidden="1" customHeight="1" x14ac:dyDescent="0.2"/>
    <row r="45" spans="1:6" ht="12.75" hidden="1" customHeight="1" x14ac:dyDescent="0.2"/>
    <row r="46" spans="1:6" ht="12.75" hidden="1" customHeight="1" x14ac:dyDescent="0.2"/>
    <row r="47" spans="1:6" ht="12.75" hidden="1" customHeight="1" x14ac:dyDescent="0.2"/>
    <row r="48" spans="1:6" ht="12.75" hidden="1" customHeight="1" x14ac:dyDescent="0.2"/>
    <row r="49" spans="1:6" ht="12.75" hidden="1" customHeight="1" x14ac:dyDescent="0.2"/>
    <row r="51" spans="1:6" x14ac:dyDescent="0.2">
      <c r="A51" s="117" t="str">
        <f>Translation!$A$29</f>
        <v>institutions de prévoyance sans garantie étatique</v>
      </c>
      <c r="E51" s="157"/>
    </row>
    <row r="52" spans="1:6" x14ac:dyDescent="0.2">
      <c r="A52" s="115" t="str">
        <f>$A$12</f>
        <v>Non défini</v>
      </c>
      <c r="B52" s="33">
        <v>457</v>
      </c>
      <c r="C52" s="8">
        <v>1498008</v>
      </c>
      <c r="D52" s="8">
        <v>61541</v>
      </c>
      <c r="E52" s="153">
        <v>134447.94</v>
      </c>
      <c r="F52" s="34">
        <f t="shared" ref="F52:F59" si="2">E52/E$76</f>
        <v>0.18764541861743253</v>
      </c>
    </row>
    <row r="53" spans="1:6" x14ac:dyDescent="0.2">
      <c r="A53" s="115" t="str">
        <f>$A$13</f>
        <v>0,01 % et plus</v>
      </c>
      <c r="B53" s="33">
        <v>9</v>
      </c>
      <c r="C53" s="8">
        <v>2523</v>
      </c>
      <c r="D53" s="8">
        <v>434</v>
      </c>
      <c r="E53" s="153">
        <v>690.49</v>
      </c>
      <c r="F53" s="34">
        <f t="shared" si="2"/>
        <v>9.6369855202802651E-4</v>
      </c>
    </row>
    <row r="54" spans="1:6" x14ac:dyDescent="0.2">
      <c r="A54" s="115" t="str">
        <f>$A$14</f>
        <v>Inchangé</v>
      </c>
      <c r="B54" s="33">
        <v>918</v>
      </c>
      <c r="C54" s="8">
        <v>1718036</v>
      </c>
      <c r="D54" s="8">
        <v>487525</v>
      </c>
      <c r="E54" s="153">
        <v>434146.09600000002</v>
      </c>
      <c r="F54" s="34">
        <f t="shared" si="2"/>
        <v>0.60592617428756479</v>
      </c>
    </row>
    <row r="55" spans="1:6" x14ac:dyDescent="0.2">
      <c r="A55" s="115" t="str">
        <f>$A$15</f>
        <v>De -0,01 à -0,25 %</v>
      </c>
      <c r="B55" s="33">
        <v>103</v>
      </c>
      <c r="C55" s="8">
        <v>184240</v>
      </c>
      <c r="D55" s="8">
        <v>46085</v>
      </c>
      <c r="E55" s="153">
        <v>35060.28</v>
      </c>
      <c r="F55" s="34">
        <f t="shared" si="2"/>
        <v>4.8932701515875934E-2</v>
      </c>
    </row>
    <row r="56" spans="1:6" x14ac:dyDescent="0.2">
      <c r="A56" s="115" t="str">
        <f>$A$16</f>
        <v>De -0,26 à -0,50 %</v>
      </c>
      <c r="B56" s="33">
        <v>239</v>
      </c>
      <c r="C56" s="8">
        <v>186219</v>
      </c>
      <c r="D56" s="8">
        <v>79214</v>
      </c>
      <c r="E56" s="153">
        <v>68658.822</v>
      </c>
      <c r="F56" s="34">
        <f t="shared" si="2"/>
        <v>9.582529413221047E-2</v>
      </c>
    </row>
    <row r="57" spans="1:6" ht="12.75" customHeight="1" x14ac:dyDescent="0.2">
      <c r="A57" s="115" t="str">
        <f>$A$17</f>
        <v>De -0,51 à -0,75 %</v>
      </c>
      <c r="B57" s="33">
        <v>21</v>
      </c>
      <c r="C57" s="8">
        <v>20284</v>
      </c>
      <c r="D57" s="8">
        <v>6587</v>
      </c>
      <c r="E57" s="153">
        <v>6611.8789999999999</v>
      </c>
      <c r="F57" s="34">
        <f t="shared" si="2"/>
        <v>9.2280238938790074E-3</v>
      </c>
    </row>
    <row r="58" spans="1:6" ht="12.75" customHeight="1" x14ac:dyDescent="0.2">
      <c r="A58" s="115" t="str">
        <f>$A$18</f>
        <v>De -0,76 à -1,00 %</v>
      </c>
      <c r="B58" s="33">
        <v>48</v>
      </c>
      <c r="C58" s="8">
        <v>52796</v>
      </c>
      <c r="D58" s="8">
        <v>31763</v>
      </c>
      <c r="E58" s="153">
        <v>35626.756000000001</v>
      </c>
      <c r="F58" s="34">
        <f t="shared" si="2"/>
        <v>4.9723317022195554E-2</v>
      </c>
    </row>
    <row r="59" spans="1:6" ht="12.75" customHeight="1" x14ac:dyDescent="0.2">
      <c r="A59" s="115" t="str">
        <f>$A$19</f>
        <v>-1,01 % et moins</v>
      </c>
      <c r="B59" s="33">
        <v>7</v>
      </c>
      <c r="C59" s="8">
        <v>2551</v>
      </c>
      <c r="D59" s="8">
        <v>1757</v>
      </c>
      <c r="E59" s="153">
        <v>1257.7239999999999</v>
      </c>
      <c r="F59" s="34">
        <f t="shared" si="2"/>
        <v>1.7553719788134478E-3</v>
      </c>
    </row>
    <row r="60" spans="1:6" ht="12.75" hidden="1" customHeight="1" x14ac:dyDescent="0.2">
      <c r="A60" s="115">
        <f>$A$20</f>
        <v>0</v>
      </c>
      <c r="B60" s="33"/>
      <c r="C60" s="8"/>
      <c r="D60" s="8"/>
      <c r="E60" s="153"/>
      <c r="F60" s="34"/>
    </row>
    <row r="61" spans="1:6" ht="12.75" hidden="1" customHeight="1" x14ac:dyDescent="0.2">
      <c r="A61" s="115">
        <f>$A$21</f>
        <v>0</v>
      </c>
      <c r="B61" s="33"/>
      <c r="C61" s="8"/>
      <c r="D61" s="8"/>
      <c r="E61" s="153"/>
      <c r="F61" s="34"/>
    </row>
    <row r="62" spans="1:6" ht="12.75" hidden="1" customHeight="1" x14ac:dyDescent="0.2">
      <c r="A62" s="115">
        <f>$A$22</f>
        <v>0</v>
      </c>
      <c r="B62" s="33"/>
      <c r="C62" s="8"/>
      <c r="D62" s="8"/>
      <c r="E62" s="153"/>
      <c r="F62" s="34"/>
    </row>
    <row r="63" spans="1:6" ht="12.75" hidden="1" customHeight="1" x14ac:dyDescent="0.2">
      <c r="A63" s="115">
        <f>$A$23</f>
        <v>0</v>
      </c>
      <c r="B63" s="33"/>
      <c r="C63" s="8"/>
      <c r="D63" s="8"/>
      <c r="E63" s="153"/>
      <c r="F63" s="34"/>
    </row>
    <row r="64" spans="1:6" ht="12.75" hidden="1" customHeight="1" x14ac:dyDescent="0.2">
      <c r="A64" s="115">
        <f>$A$24</f>
        <v>0</v>
      </c>
      <c r="B64" s="33"/>
      <c r="C64" s="8"/>
      <c r="D64" s="8"/>
      <c r="E64" s="153"/>
      <c r="F64" s="34"/>
    </row>
    <row r="65" spans="1:6" ht="12.75" hidden="1" customHeight="1" x14ac:dyDescent="0.2">
      <c r="A65" s="115">
        <f>$A$25</f>
        <v>0</v>
      </c>
      <c r="B65" s="33"/>
      <c r="C65" s="8"/>
      <c r="D65" s="8"/>
      <c r="E65" s="153"/>
      <c r="F65" s="34"/>
    </row>
    <row r="66" spans="1:6" ht="12.75" hidden="1" customHeight="1" x14ac:dyDescent="0.2">
      <c r="A66" s="115">
        <f>$A$26</f>
        <v>0</v>
      </c>
      <c r="B66" s="33"/>
      <c r="C66" s="8"/>
      <c r="D66" s="8"/>
      <c r="E66" s="153"/>
      <c r="F66" s="34"/>
    </row>
    <row r="67" spans="1:6" ht="12.75" hidden="1" customHeight="1" x14ac:dyDescent="0.2">
      <c r="A67" s="115">
        <f>$A$27</f>
        <v>0</v>
      </c>
      <c r="B67" s="33"/>
      <c r="C67" s="8"/>
      <c r="D67" s="8"/>
      <c r="E67" s="153"/>
      <c r="F67" s="34"/>
    </row>
    <row r="68" spans="1:6" ht="12.75" hidden="1" customHeight="1" x14ac:dyDescent="0.2">
      <c r="A68" s="115">
        <f>$A$28</f>
        <v>0</v>
      </c>
      <c r="B68" s="33"/>
      <c r="C68" s="8"/>
      <c r="D68" s="8"/>
      <c r="E68" s="153"/>
      <c r="F68" s="34"/>
    </row>
    <row r="69" spans="1:6" ht="12.75" hidden="1" customHeight="1" x14ac:dyDescent="0.2">
      <c r="A69" s="115">
        <f>$A$29</f>
        <v>0</v>
      </c>
      <c r="B69" s="33"/>
      <c r="C69" s="8"/>
      <c r="D69" s="8"/>
      <c r="E69" s="153"/>
      <c r="F69" s="34"/>
    </row>
    <row r="70" spans="1:6" ht="12.75" hidden="1" customHeight="1" x14ac:dyDescent="0.2">
      <c r="A70" s="115">
        <f>$A$30</f>
        <v>0</v>
      </c>
      <c r="B70" s="33"/>
      <c r="C70" s="8"/>
      <c r="D70" s="8"/>
      <c r="E70" s="153"/>
      <c r="F70" s="34"/>
    </row>
    <row r="71" spans="1:6" ht="12.75" hidden="1" customHeight="1" x14ac:dyDescent="0.2">
      <c r="A71" s="115">
        <f>$A$31</f>
        <v>0</v>
      </c>
      <c r="B71" s="33"/>
      <c r="C71" s="8"/>
      <c r="D71" s="8"/>
      <c r="E71" s="153"/>
      <c r="F71" s="34"/>
    </row>
    <row r="72" spans="1:6" ht="12.75" hidden="1" customHeight="1" x14ac:dyDescent="0.2">
      <c r="A72" s="115">
        <f>$A$32</f>
        <v>0</v>
      </c>
      <c r="B72" s="33"/>
      <c r="C72" s="8"/>
      <c r="D72" s="8"/>
      <c r="E72" s="153"/>
      <c r="F72" s="34"/>
    </row>
    <row r="73" spans="1:6" ht="12.75" hidden="1" customHeight="1" x14ac:dyDescent="0.2">
      <c r="A73" s="115">
        <f>$A$33</f>
        <v>0</v>
      </c>
      <c r="B73" s="33"/>
      <c r="C73" s="8"/>
      <c r="D73" s="8"/>
      <c r="E73" s="153"/>
      <c r="F73" s="34"/>
    </row>
    <row r="74" spans="1:6" ht="12.75" hidden="1" customHeight="1" x14ac:dyDescent="0.2">
      <c r="A74" s="115">
        <f>$A$34</f>
        <v>0</v>
      </c>
      <c r="B74" s="33"/>
      <c r="C74" s="8"/>
      <c r="D74" s="8"/>
      <c r="E74" s="153"/>
      <c r="F74" s="34"/>
    </row>
    <row r="75" spans="1:6" ht="12.75" hidden="1" customHeight="1" x14ac:dyDescent="0.2">
      <c r="B75" s="33"/>
      <c r="C75" s="8"/>
      <c r="D75" s="8"/>
      <c r="E75" s="153"/>
      <c r="F75" s="34"/>
    </row>
    <row r="76" spans="1: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716499.9870000002</v>
      </c>
      <c r="F76" s="67">
        <f t="shared" ref="F76" si="3">SUM(F$52:F$75)</f>
        <v>0.99999999999999989</v>
      </c>
    </row>
    <row r="79" spans="1:6" ht="12.75" hidden="1" customHeight="1" x14ac:dyDescent="0.2"/>
    <row r="80" spans="1:6" ht="12.75" hidden="1" customHeight="1" x14ac:dyDescent="0.2"/>
    <row r="81" spans="1:6" ht="12.75" hidden="1" customHeight="1" x14ac:dyDescent="0.2"/>
    <row r="82" spans="1:6" ht="12.75" hidden="1" customHeight="1" x14ac:dyDescent="0.2"/>
    <row r="83" spans="1:6" ht="12.75" hidden="1" customHeight="1" x14ac:dyDescent="0.2"/>
    <row r="84" spans="1:6" ht="12.75" hidden="1" customHeight="1" x14ac:dyDescent="0.2"/>
    <row r="85" spans="1:6" ht="12.75" hidden="1" customHeight="1" x14ac:dyDescent="0.2"/>
    <row r="86" spans="1:6" ht="12.75" hidden="1" customHeight="1" x14ac:dyDescent="0.2"/>
    <row r="87" spans="1:6" ht="12.75" hidden="1" customHeight="1" x14ac:dyDescent="0.2"/>
    <row r="88" spans="1:6" ht="12.75" hidden="1" customHeight="1" x14ac:dyDescent="0.2"/>
    <row r="89" spans="1:6" ht="12.75" hidden="1" customHeight="1" x14ac:dyDescent="0.2"/>
    <row r="91" spans="1:6" x14ac:dyDescent="0.2">
      <c r="A91" s="118" t="str">
        <f>Translation!$A$30</f>
        <v>institutions de prévoyance avec garantie étatique</v>
      </c>
      <c r="E91" s="157"/>
    </row>
    <row r="92" spans="1:6" x14ac:dyDescent="0.2">
      <c r="A92" s="115" t="str">
        <f>$A$12</f>
        <v>Non défini</v>
      </c>
      <c r="B92" s="36">
        <v>3</v>
      </c>
      <c r="C92" s="10">
        <v>69964</v>
      </c>
      <c r="D92" s="10">
        <v>30524</v>
      </c>
      <c r="E92" s="155">
        <v>18124.847000000002</v>
      </c>
      <c r="F92" s="37">
        <f t="shared" ref="F92:F99" si="4">E92/E$116</f>
        <v>0.17164577785418753</v>
      </c>
    </row>
    <row r="93" spans="1:6" x14ac:dyDescent="0.2">
      <c r="A93" s="115" t="str">
        <f>$A$13</f>
        <v>0,01 % et plus</v>
      </c>
      <c r="B93" s="36">
        <v>0</v>
      </c>
      <c r="C93" s="10">
        <v>0</v>
      </c>
      <c r="D93" s="10">
        <v>0</v>
      </c>
      <c r="E93" s="155">
        <v>0</v>
      </c>
      <c r="F93" s="37">
        <f t="shared" si="4"/>
        <v>0</v>
      </c>
    </row>
    <row r="94" spans="1:6" x14ac:dyDescent="0.2">
      <c r="A94" s="115" t="str">
        <f>$A$14</f>
        <v>Inchangé</v>
      </c>
      <c r="B94" s="36">
        <v>29</v>
      </c>
      <c r="C94" s="10">
        <v>222069</v>
      </c>
      <c r="D94" s="10">
        <v>102574</v>
      </c>
      <c r="E94" s="155">
        <v>72663.441000000006</v>
      </c>
      <c r="F94" s="37">
        <f t="shared" si="4"/>
        <v>0.68813672479590371</v>
      </c>
    </row>
    <row r="95" spans="1:6" x14ac:dyDescent="0.2">
      <c r="A95" s="115" t="str">
        <f>$A$15</f>
        <v>De -0,01 à -0,25 %</v>
      </c>
      <c r="B95" s="36">
        <v>1</v>
      </c>
      <c r="C95" s="10">
        <v>329</v>
      </c>
      <c r="D95" s="10">
        <v>180</v>
      </c>
      <c r="E95" s="155">
        <v>121.593</v>
      </c>
      <c r="F95" s="37">
        <f t="shared" si="4"/>
        <v>1.1515090343451849E-3</v>
      </c>
    </row>
    <row r="96" spans="1:6" x14ac:dyDescent="0.2">
      <c r="A96" s="115" t="str">
        <f>$A$16</f>
        <v>De -0,26 à -0,50 %</v>
      </c>
      <c r="B96" s="36">
        <v>2</v>
      </c>
      <c r="C96" s="10">
        <v>18436</v>
      </c>
      <c r="D96" s="10">
        <v>9490</v>
      </c>
      <c r="E96" s="155">
        <v>7645.77</v>
      </c>
      <c r="F96" s="37">
        <f t="shared" si="4"/>
        <v>7.2406908535239567E-2</v>
      </c>
    </row>
    <row r="97" spans="1:6" ht="12.75" customHeight="1" x14ac:dyDescent="0.2">
      <c r="A97" s="115" t="str">
        <f>$A$17</f>
        <v>De -0,51 à -0,75 %</v>
      </c>
      <c r="B97" s="36">
        <v>1</v>
      </c>
      <c r="C97" s="10">
        <v>2339</v>
      </c>
      <c r="D97" s="10">
        <v>859</v>
      </c>
      <c r="E97" s="155">
        <v>681.4</v>
      </c>
      <c r="F97" s="37">
        <f t="shared" si="4"/>
        <v>6.4529887082546613E-3</v>
      </c>
    </row>
    <row r="98" spans="1:6" ht="12.75" customHeight="1" x14ac:dyDescent="0.2">
      <c r="A98" s="115" t="str">
        <f>$A$18</f>
        <v>De -0,76 à -1,00 %</v>
      </c>
      <c r="B98" s="36">
        <v>6</v>
      </c>
      <c r="C98" s="10">
        <v>26235</v>
      </c>
      <c r="D98" s="10">
        <v>10258</v>
      </c>
      <c r="E98" s="155">
        <v>6298.9930000000004</v>
      </c>
      <c r="F98" s="37">
        <f t="shared" si="4"/>
        <v>5.9652672002311648E-2</v>
      </c>
    </row>
    <row r="99" spans="1:6" ht="12.75" customHeight="1" x14ac:dyDescent="0.2">
      <c r="A99" s="115" t="str">
        <f>$A$19</f>
        <v>-1,01 % et moins</v>
      </c>
      <c r="B99" s="36">
        <v>1</v>
      </c>
      <c r="C99" s="10">
        <v>8</v>
      </c>
      <c r="D99" s="10">
        <v>27</v>
      </c>
      <c r="E99" s="155">
        <v>58.438000000000002</v>
      </c>
      <c r="F99" s="37">
        <f t="shared" si="4"/>
        <v>5.5341906975783079E-4</v>
      </c>
    </row>
    <row r="100" spans="1: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</row>
    <row r="101" spans="1: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</row>
    <row r="102" spans="1: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</row>
    <row r="103" spans="1: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</row>
    <row r="104" spans="1: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</row>
    <row r="105" spans="1: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</row>
    <row r="106" spans="1: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</row>
    <row r="107" spans="1: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</row>
    <row r="108" spans="1: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</row>
    <row r="109" spans="1: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</row>
    <row r="110" spans="1: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</row>
    <row r="111" spans="1: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</row>
    <row r="112" spans="1: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</row>
    <row r="113" spans="1: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</row>
    <row r="114" spans="1: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</row>
    <row r="115" spans="1:6" ht="12.75" hidden="1" customHeight="1" x14ac:dyDescent="0.2">
      <c r="B115" s="36"/>
      <c r="C115" s="10"/>
      <c r="D115" s="10"/>
      <c r="E115" s="155"/>
      <c r="F115" s="37"/>
    </row>
    <row r="116" spans="1: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105594.48199999999</v>
      </c>
      <c r="F116" s="70">
        <f t="shared" ref="F116" si="5">SUM(F$92:F$115)</f>
        <v>1</v>
      </c>
    </row>
    <row r="120" spans="1:6" x14ac:dyDescent="0.2">
      <c r="A120" s="111" t="str">
        <f>Translation!$A$36</f>
        <v>somme du bilan en millions de francs</v>
      </c>
    </row>
  </sheetData>
  <mergeCells count="1"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4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Translation!$A$161</f>
        <v>Bases biométriques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retour à la vue d'ensemble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/>
      <c r="B4" s="28" t="str">
        <f>Translation!$A$40</f>
        <v>Nombre d'IP</v>
      </c>
      <c r="C4" s="19" t="str">
        <f>Translation!$A$41</f>
        <v>Nombre d'assurés actifs</v>
      </c>
      <c r="D4" s="19" t="str">
        <f>Translation!$A$42</f>
        <v>Nombre de rentiers</v>
      </c>
      <c r="E4" s="149" t="str">
        <f>Translation!$A$43</f>
        <v>Somme du bilan</v>
      </c>
      <c r="F4" s="29" t="str">
        <f>Translation!$A$46</f>
        <v>Part de la somme du bilan</v>
      </c>
      <c r="G4" s="28" t="str">
        <f>Translation!$A$40</f>
        <v>Nombre d'IP</v>
      </c>
      <c r="H4" s="19" t="str">
        <f>Translation!$A$41</f>
        <v>Nombre d'assurés actifs</v>
      </c>
      <c r="I4" s="19" t="str">
        <f>Translation!$A$42</f>
        <v>Nombre de rentiers</v>
      </c>
      <c r="J4" s="149" t="str">
        <f>Translation!$A$43</f>
        <v>Somme du bilan</v>
      </c>
      <c r="K4" s="29" t="str">
        <f>Translation!$A$46</f>
        <v>Part de la somme du bilan</v>
      </c>
      <c r="L4" s="28" t="str">
        <f>Translation!$A$40</f>
        <v>Nombre d'IP</v>
      </c>
      <c r="M4" s="73" t="str">
        <f>Translation!$A$41</f>
        <v>Nombre d'assurés actifs</v>
      </c>
      <c r="N4" s="73" t="str">
        <f>Translation!$A$42</f>
        <v>Nombre de rentiers</v>
      </c>
      <c r="O4" s="149" t="str">
        <f>Translation!$A$43</f>
        <v>Somme du bilan</v>
      </c>
      <c r="P4" s="29" t="str">
        <f>Translation!$A$46</f>
        <v>Part de la somme du bilan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toutes les institutions de prévoyance</v>
      </c>
    </row>
    <row r="12" spans="1:16" x14ac:dyDescent="0.2">
      <c r="A12" s="115" t="str">
        <f>Translation!$A162</f>
        <v>CFP 1990</v>
      </c>
      <c r="B12" s="30">
        <v>0</v>
      </c>
      <c r="C12" s="6">
        <v>0</v>
      </c>
      <c r="D12" s="6">
        <v>0</v>
      </c>
      <c r="E12" s="151">
        <v>0</v>
      </c>
      <c r="F12" s="31">
        <f t="shared" ref="F12:F24" si="0">E12/E$36</f>
        <v>0</v>
      </c>
      <c r="G12" s="41">
        <v>0</v>
      </c>
      <c r="H12" s="42">
        <v>0</v>
      </c>
      <c r="I12" s="42">
        <v>0</v>
      </c>
      <c r="J12" s="161">
        <v>0</v>
      </c>
      <c r="K12" s="44">
        <f t="shared" ref="K12:K21" si="1">J12/J$36</f>
        <v>0</v>
      </c>
      <c r="L12" s="76">
        <v>5</v>
      </c>
      <c r="M12" s="123">
        <v>108</v>
      </c>
      <c r="N12" s="123">
        <v>38</v>
      </c>
      <c r="O12" s="168">
        <v>79.625</v>
      </c>
      <c r="P12" s="125">
        <f t="shared" ref="P12:P20" si="2">O12/O$36</f>
        <v>1.1833211251485344E-4</v>
      </c>
    </row>
    <row r="13" spans="1:16" x14ac:dyDescent="0.2">
      <c r="A13" s="115" t="str">
        <f>Translation!$A163</f>
        <v>CFP 2000</v>
      </c>
      <c r="B13" s="30">
        <v>25</v>
      </c>
      <c r="C13" s="6">
        <v>28852</v>
      </c>
      <c r="D13" s="6">
        <v>10999</v>
      </c>
      <c r="E13" s="151">
        <v>9047.5779999999995</v>
      </c>
      <c r="F13" s="31">
        <f t="shared" si="0"/>
        <v>1.100552106986624E-2</v>
      </c>
      <c r="G13" s="41">
        <v>52</v>
      </c>
      <c r="H13" s="42">
        <v>57925</v>
      </c>
      <c r="I13" s="42">
        <v>18927</v>
      </c>
      <c r="J13" s="161">
        <v>17307.148000000001</v>
      </c>
      <c r="K13" s="44">
        <f t="shared" si="1"/>
        <v>2.3702163669943991E-2</v>
      </c>
      <c r="L13" s="76">
        <v>103</v>
      </c>
      <c r="M13" s="123">
        <v>221782</v>
      </c>
      <c r="N13" s="123">
        <v>87697</v>
      </c>
      <c r="O13" s="168">
        <v>59147.492053000009</v>
      </c>
      <c r="P13" s="125">
        <f t="shared" si="2"/>
        <v>8.7900127906901049E-2</v>
      </c>
    </row>
    <row r="14" spans="1:16" x14ac:dyDescent="0.2">
      <c r="A14" s="115" t="str">
        <f>Translation!$A164</f>
        <v>LPP 2000</v>
      </c>
      <c r="B14" s="30">
        <v>7</v>
      </c>
      <c r="C14" s="6">
        <v>454</v>
      </c>
      <c r="D14" s="6">
        <v>119</v>
      </c>
      <c r="E14" s="151">
        <v>79.227000000000004</v>
      </c>
      <c r="F14" s="31">
        <f t="shared" si="0"/>
        <v>9.6372136034891635E-5</v>
      </c>
      <c r="G14" s="41">
        <v>18</v>
      </c>
      <c r="H14" s="42">
        <v>12304</v>
      </c>
      <c r="I14" s="42">
        <v>6187</v>
      </c>
      <c r="J14" s="161">
        <v>5494.8320000000003</v>
      </c>
      <c r="K14" s="44">
        <f t="shared" si="1"/>
        <v>7.5251801973869803E-3</v>
      </c>
      <c r="L14" s="76">
        <v>41</v>
      </c>
      <c r="M14" s="123">
        <v>19968</v>
      </c>
      <c r="N14" s="123">
        <v>8887</v>
      </c>
      <c r="O14" s="168">
        <v>7962.9418009999999</v>
      </c>
      <c r="P14" s="125">
        <f t="shared" si="2"/>
        <v>1.1833867819719455E-2</v>
      </c>
    </row>
    <row r="15" spans="1:16" x14ac:dyDescent="0.2">
      <c r="A15" s="115" t="str">
        <f>Translation!$A165</f>
        <v>LPP 2005</v>
      </c>
      <c r="B15" s="30">
        <v>25</v>
      </c>
      <c r="C15" s="6">
        <v>15860</v>
      </c>
      <c r="D15" s="6">
        <v>4046</v>
      </c>
      <c r="E15" s="151">
        <v>6429.1760000000004</v>
      </c>
      <c r="F15" s="31">
        <f t="shared" si="0"/>
        <v>7.8204832199156912E-3</v>
      </c>
      <c r="G15" s="41">
        <v>41</v>
      </c>
      <c r="H15" s="42">
        <v>26894</v>
      </c>
      <c r="I15" s="42">
        <v>10804</v>
      </c>
      <c r="J15" s="161">
        <v>10662.434999999999</v>
      </c>
      <c r="K15" s="44">
        <f t="shared" si="1"/>
        <v>1.4602219816352137E-2</v>
      </c>
      <c r="L15" s="76">
        <v>68</v>
      </c>
      <c r="M15" s="123">
        <v>130907</v>
      </c>
      <c r="N15" s="123">
        <v>54329</v>
      </c>
      <c r="O15" s="168">
        <v>19363.312666000002</v>
      </c>
      <c r="P15" s="125">
        <f t="shared" si="2"/>
        <v>2.8776159410403752E-2</v>
      </c>
    </row>
    <row r="16" spans="1:16" x14ac:dyDescent="0.2">
      <c r="A16" s="115" t="str">
        <f>Translation!$A166</f>
        <v>LPP 2010</v>
      </c>
      <c r="B16" s="30">
        <v>1255</v>
      </c>
      <c r="C16" s="6">
        <v>2140590</v>
      </c>
      <c r="D16" s="6">
        <v>624479</v>
      </c>
      <c r="E16" s="151">
        <v>549273.02399999998</v>
      </c>
      <c r="F16" s="31">
        <f t="shared" si="0"/>
        <v>0.66813857131059218</v>
      </c>
      <c r="G16" s="41">
        <v>1262</v>
      </c>
      <c r="H16" s="42">
        <v>1910097</v>
      </c>
      <c r="I16" s="42">
        <v>577789</v>
      </c>
      <c r="J16" s="161">
        <v>476841.12199999997</v>
      </c>
      <c r="K16" s="44">
        <f t="shared" si="1"/>
        <v>0.6530345911529577</v>
      </c>
      <c r="L16" s="76">
        <v>1129</v>
      </c>
      <c r="M16" s="123">
        <v>1629592</v>
      </c>
      <c r="N16" s="123">
        <v>487475</v>
      </c>
      <c r="O16" s="168">
        <v>395949.07759800012</v>
      </c>
      <c r="P16" s="125">
        <f t="shared" si="2"/>
        <v>0.58842688603427296</v>
      </c>
    </row>
    <row r="17" spans="1:16" ht="12.75" customHeight="1" x14ac:dyDescent="0.2">
      <c r="A17" s="111" t="str">
        <f>Translation!$A167</f>
        <v>VZ 1990</v>
      </c>
      <c r="B17" s="30">
        <v>0</v>
      </c>
      <c r="C17" s="6">
        <v>0</v>
      </c>
      <c r="D17" s="6">
        <v>0</v>
      </c>
      <c r="E17" s="151">
        <v>0</v>
      </c>
      <c r="F17" s="31">
        <f t="shared" si="0"/>
        <v>0</v>
      </c>
      <c r="G17" s="41">
        <v>1</v>
      </c>
      <c r="H17" s="42">
        <v>9</v>
      </c>
      <c r="I17" s="42">
        <v>0</v>
      </c>
      <c r="J17" s="161">
        <v>1.171</v>
      </c>
      <c r="K17" s="44">
        <f t="shared" si="1"/>
        <v>1.6036861565813392E-6</v>
      </c>
      <c r="L17" s="76">
        <v>1</v>
      </c>
      <c r="M17" s="123">
        <v>11</v>
      </c>
      <c r="N17" s="123">
        <v>0</v>
      </c>
      <c r="O17" s="168">
        <v>1.1180000000000001</v>
      </c>
      <c r="P17" s="125">
        <f t="shared" si="2"/>
        <v>1.6614794573514115E-6</v>
      </c>
    </row>
    <row r="18" spans="1:16" ht="12.75" customHeight="1" x14ac:dyDescent="0.2">
      <c r="A18" s="111" t="str">
        <f>Translation!$A168</f>
        <v>VZ 2000</v>
      </c>
      <c r="B18" s="30">
        <v>0</v>
      </c>
      <c r="C18" s="6">
        <v>0</v>
      </c>
      <c r="D18" s="6">
        <v>0</v>
      </c>
      <c r="E18" s="151">
        <v>0</v>
      </c>
      <c r="F18" s="31">
        <f t="shared" si="0"/>
        <v>0</v>
      </c>
      <c r="G18" s="41">
        <v>4</v>
      </c>
      <c r="H18" s="42">
        <v>8440</v>
      </c>
      <c r="I18" s="42">
        <v>5004</v>
      </c>
      <c r="J18" s="161">
        <v>3484.8690000000001</v>
      </c>
      <c r="K18" s="44">
        <f t="shared" si="1"/>
        <v>4.7725330254478693E-3</v>
      </c>
      <c r="L18" s="76">
        <v>7</v>
      </c>
      <c r="M18" s="123">
        <v>52950</v>
      </c>
      <c r="N18" s="123">
        <v>24159</v>
      </c>
      <c r="O18" s="168">
        <v>12144.520999999999</v>
      </c>
      <c r="P18" s="125">
        <f t="shared" si="2"/>
        <v>1.8048186190405026E-2</v>
      </c>
    </row>
    <row r="19" spans="1:16" ht="12.75" customHeight="1" x14ac:dyDescent="0.2">
      <c r="A19" s="111" t="str">
        <f>Translation!$A169</f>
        <v>VZ 2005</v>
      </c>
      <c r="B19" s="30">
        <v>22</v>
      </c>
      <c r="C19" s="6">
        <v>7167</v>
      </c>
      <c r="D19" s="6">
        <v>1436</v>
      </c>
      <c r="E19" s="151">
        <v>1487.5609999999999</v>
      </c>
      <c r="F19" s="31">
        <f t="shared" si="0"/>
        <v>1.809476959271453E-3</v>
      </c>
      <c r="G19" s="41">
        <v>35</v>
      </c>
      <c r="H19" s="42">
        <v>37938</v>
      </c>
      <c r="I19" s="42">
        <v>12586</v>
      </c>
      <c r="J19" s="161">
        <v>9398.8340000000007</v>
      </c>
      <c r="K19" s="44">
        <f t="shared" si="1"/>
        <v>1.2871716459270722E-2</v>
      </c>
      <c r="L19" s="76">
        <v>30</v>
      </c>
      <c r="M19" s="123">
        <v>118026</v>
      </c>
      <c r="N19" s="123">
        <v>43016</v>
      </c>
      <c r="O19" s="168">
        <v>31661.945117000003</v>
      </c>
      <c r="P19" s="125">
        <f t="shared" si="2"/>
        <v>4.7053373337820517E-2</v>
      </c>
    </row>
    <row r="20" spans="1:16" ht="12.75" customHeight="1" x14ac:dyDescent="0.2">
      <c r="A20" s="111" t="str">
        <f>Translation!$A170</f>
        <v>VZ 2010</v>
      </c>
      <c r="B20" s="30">
        <v>147</v>
      </c>
      <c r="C20" s="6">
        <v>505844</v>
      </c>
      <c r="D20" s="6">
        <v>213270</v>
      </c>
      <c r="E20" s="151">
        <v>168324.27799999999</v>
      </c>
      <c r="F20" s="31">
        <f t="shared" si="0"/>
        <v>0.20475052971071622</v>
      </c>
      <c r="G20" s="41">
        <v>145</v>
      </c>
      <c r="H20" s="42">
        <v>456321</v>
      </c>
      <c r="I20" s="42">
        <v>193537</v>
      </c>
      <c r="J20" s="161">
        <v>145048.65400000001</v>
      </c>
      <c r="K20" s="44">
        <f t="shared" si="1"/>
        <v>0.19864433684932239</v>
      </c>
      <c r="L20" s="76">
        <v>138</v>
      </c>
      <c r="M20" s="123">
        <v>214918</v>
      </c>
      <c r="N20" s="123">
        <v>81565</v>
      </c>
      <c r="O20" s="168">
        <v>64571.921828000006</v>
      </c>
      <c r="P20" s="125">
        <f t="shared" si="2"/>
        <v>9.5961468371129885E-2</v>
      </c>
    </row>
    <row r="21" spans="1:16" ht="12.75" customHeight="1" x14ac:dyDescent="0.2">
      <c r="A21" s="111" t="str">
        <f>Translation!$A171</f>
        <v>Autre</v>
      </c>
      <c r="B21" s="30">
        <v>6</v>
      </c>
      <c r="C21" s="6">
        <v>636</v>
      </c>
      <c r="D21" s="6">
        <v>26</v>
      </c>
      <c r="E21" s="151">
        <v>21.984999999999999</v>
      </c>
      <c r="F21" s="31">
        <f t="shared" si="0"/>
        <v>2.6742668670113626E-5</v>
      </c>
      <c r="G21" s="41">
        <v>12</v>
      </c>
      <c r="H21" s="42">
        <v>79840</v>
      </c>
      <c r="I21" s="42">
        <v>7284</v>
      </c>
      <c r="J21" s="161">
        <v>9978.1190000000006</v>
      </c>
      <c r="K21" s="44">
        <f t="shared" si="1"/>
        <v>1.3665048086269203E-2</v>
      </c>
      <c r="L21" s="180" t="str">
        <f>Translation!$A$433</f>
        <v>non saisi séparément</v>
      </c>
      <c r="M21" s="181"/>
      <c r="N21" s="181"/>
      <c r="O21" s="181"/>
      <c r="P21" s="182"/>
    </row>
    <row r="22" spans="1:16" ht="12.75" customHeight="1" x14ac:dyDescent="0.2">
      <c r="A22" s="111" t="str">
        <f>Translation!$A172</f>
        <v>Aucune (contrat d'assurance)</v>
      </c>
      <c r="B22" s="30">
        <v>221</v>
      </c>
      <c r="C22" s="6">
        <v>1279794</v>
      </c>
      <c r="D22" s="6">
        <v>14187</v>
      </c>
      <c r="E22" s="151">
        <v>83785.095000000001</v>
      </c>
      <c r="F22" s="31">
        <f t="shared" si="0"/>
        <v>0.10191662656715915</v>
      </c>
      <c r="G22" s="183" t="str">
        <f>Translation!$A$433</f>
        <v>non saisi séparément</v>
      </c>
      <c r="H22" s="184"/>
      <c r="I22" s="184"/>
      <c r="J22" s="184"/>
      <c r="K22" s="185"/>
      <c r="L22" s="180" t="str">
        <f>Translation!$A$433</f>
        <v>non saisi séparément</v>
      </c>
      <c r="M22" s="181"/>
      <c r="N22" s="181"/>
      <c r="O22" s="181"/>
      <c r="P22" s="182"/>
    </row>
    <row r="23" spans="1:16" ht="12.75" customHeight="1" x14ac:dyDescent="0.2">
      <c r="A23" s="111" t="str">
        <f>Translation!$A173</f>
        <v>Aucune (prestations temporaires)</v>
      </c>
      <c r="B23" s="30">
        <v>15</v>
      </c>
      <c r="C23" s="6">
        <v>3931</v>
      </c>
      <c r="D23" s="6">
        <v>256</v>
      </c>
      <c r="E23" s="151">
        <v>540.58299999999997</v>
      </c>
      <c r="F23" s="31">
        <f t="shared" si="0"/>
        <v>6.5756798079126837E-4</v>
      </c>
      <c r="G23" s="183" t="str">
        <f>Translation!$A$433</f>
        <v>non saisi séparément</v>
      </c>
      <c r="H23" s="184"/>
      <c r="I23" s="184"/>
      <c r="J23" s="184"/>
      <c r="K23" s="185"/>
      <c r="L23" s="180" t="str">
        <f>Translation!$A$433</f>
        <v>non saisi séparément</v>
      </c>
      <c r="M23" s="181"/>
      <c r="N23" s="181"/>
      <c r="O23" s="181"/>
      <c r="P23" s="182"/>
    </row>
    <row r="24" spans="1:16" ht="12.75" customHeight="1" x14ac:dyDescent="0.2">
      <c r="A24" s="111" t="str">
        <f>Translation!$A174</f>
        <v>Aucune (prestations sous forme de capital)</v>
      </c>
      <c r="B24" s="30">
        <v>122</v>
      </c>
      <c r="C24" s="6">
        <v>20909</v>
      </c>
      <c r="D24" s="6">
        <v>0</v>
      </c>
      <c r="E24" s="151">
        <v>3105.962</v>
      </c>
      <c r="F24" s="31">
        <f t="shared" si="0"/>
        <v>3.7781083769826457E-3</v>
      </c>
      <c r="G24" s="41">
        <v>335</v>
      </c>
      <c r="H24" s="42">
        <v>1342980</v>
      </c>
      <c r="I24" s="42">
        <v>111214</v>
      </c>
      <c r="J24" s="161">
        <v>51975.563000000002</v>
      </c>
      <c r="K24" s="44">
        <f>J24/J$36</f>
        <v>7.1180607056892622E-2</v>
      </c>
      <c r="L24" s="76">
        <v>340</v>
      </c>
      <c r="M24" s="123">
        <v>1312236</v>
      </c>
      <c r="N24" s="123">
        <v>123778.99999999999</v>
      </c>
      <c r="O24" s="168">
        <v>82012.310979999995</v>
      </c>
      <c r="P24" s="125">
        <f>O24/O$36</f>
        <v>0.1218799373373753</v>
      </c>
    </row>
    <row r="25" spans="1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1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1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1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1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1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1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1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3">SUM(C$12:C$35)</f>
        <v>4004037</v>
      </c>
      <c r="D36" s="7">
        <f t="shared" si="3"/>
        <v>868818</v>
      </c>
      <c r="E36" s="152">
        <f t="shared" si="3"/>
        <v>822094.46900000004</v>
      </c>
      <c r="F36" s="64">
        <f>SUM(F$12:F$35)</f>
        <v>0.99999999999999989</v>
      </c>
      <c r="G36" s="45">
        <f t="shared" ref="G36:J36" si="4">SUM(G$12:G$35)</f>
        <v>1905</v>
      </c>
      <c r="H36" s="65">
        <f t="shared" si="4"/>
        <v>3932748</v>
      </c>
      <c r="I36" s="65">
        <f t="shared" si="4"/>
        <v>943332</v>
      </c>
      <c r="J36" s="162">
        <f t="shared" si="4"/>
        <v>730192.74699999986</v>
      </c>
      <c r="K36" s="66">
        <f t="shared" ref="K36:O36" si="5">SUM(K$12:K$35)</f>
        <v>1.0000000000000002</v>
      </c>
      <c r="L36" s="77">
        <f t="shared" si="5"/>
        <v>1862</v>
      </c>
      <c r="M36" s="126">
        <f t="shared" si="5"/>
        <v>3700498</v>
      </c>
      <c r="N36" s="126">
        <f t="shared" si="5"/>
        <v>910945</v>
      </c>
      <c r="O36" s="169">
        <f t="shared" si="5"/>
        <v>672894.26604300004</v>
      </c>
      <c r="P36" s="128">
        <f>SUM(P$12:P$35)</f>
        <v>1.0000000000000002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institutions de prévoyance sans garantie étatique</v>
      </c>
    </row>
    <row r="52" spans="1:16" x14ac:dyDescent="0.2">
      <c r="A52" s="115" t="str">
        <f>$A$12</f>
        <v>CFP 1990</v>
      </c>
      <c r="B52" s="33">
        <v>0</v>
      </c>
      <c r="C52" s="8">
        <v>0</v>
      </c>
      <c r="D52" s="8">
        <v>0</v>
      </c>
      <c r="E52" s="153">
        <v>0</v>
      </c>
      <c r="F52" s="34">
        <f t="shared" ref="F52:F64" si="6">E52/E$76</f>
        <v>0</v>
      </c>
      <c r="G52" s="47">
        <v>0</v>
      </c>
      <c r="H52" s="48">
        <v>0</v>
      </c>
      <c r="I52" s="48">
        <v>0</v>
      </c>
      <c r="J52" s="163">
        <v>0</v>
      </c>
      <c r="K52" s="50">
        <f t="shared" ref="K52:K61" si="7">J52/J$76</f>
        <v>0</v>
      </c>
      <c r="L52" s="129">
        <v>5</v>
      </c>
      <c r="M52" s="130">
        <v>108</v>
      </c>
      <c r="N52" s="130">
        <v>38</v>
      </c>
      <c r="O52" s="170">
        <v>79.625</v>
      </c>
      <c r="P52" s="132">
        <f t="shared" ref="P52:P60" si="8">O52/O$76</f>
        <v>1.3868699953411174E-4</v>
      </c>
    </row>
    <row r="53" spans="1:16" x14ac:dyDescent="0.2">
      <c r="A53" s="115" t="str">
        <f>$A$13</f>
        <v>CFP 2000</v>
      </c>
      <c r="B53" s="33">
        <v>23</v>
      </c>
      <c r="C53" s="8">
        <v>1840</v>
      </c>
      <c r="D53" s="8">
        <v>494</v>
      </c>
      <c r="E53" s="153">
        <v>436.81200000000001</v>
      </c>
      <c r="F53" s="34">
        <f t="shared" si="6"/>
        <v>6.0964690568794113E-4</v>
      </c>
      <c r="G53" s="47">
        <v>48</v>
      </c>
      <c r="H53" s="48">
        <v>28752</v>
      </c>
      <c r="I53" s="48">
        <v>8900</v>
      </c>
      <c r="J53" s="163">
        <v>10575.678</v>
      </c>
      <c r="K53" s="50">
        <f t="shared" si="7"/>
        <v>1.6916939256667721E-2</v>
      </c>
      <c r="L53" s="129">
        <v>94</v>
      </c>
      <c r="M53" s="130">
        <v>96062</v>
      </c>
      <c r="N53" s="130">
        <v>28854</v>
      </c>
      <c r="O53" s="170">
        <v>25979.711053000003</v>
      </c>
      <c r="P53" s="132">
        <f t="shared" si="8"/>
        <v>4.5250212555149369E-2</v>
      </c>
    </row>
    <row r="54" spans="1:16" x14ac:dyDescent="0.2">
      <c r="A54" s="115" t="str">
        <f>$A$14</f>
        <v>LPP 2000</v>
      </c>
      <c r="B54" s="33">
        <v>7</v>
      </c>
      <c r="C54" s="8">
        <v>454</v>
      </c>
      <c r="D54" s="8">
        <v>119</v>
      </c>
      <c r="E54" s="153">
        <v>79.227000000000004</v>
      </c>
      <c r="F54" s="34">
        <f t="shared" si="6"/>
        <v>1.1057501945216365E-4</v>
      </c>
      <c r="G54" s="47">
        <v>18</v>
      </c>
      <c r="H54" s="48">
        <v>12304</v>
      </c>
      <c r="I54" s="48">
        <v>6187</v>
      </c>
      <c r="J54" s="163">
        <v>5494.8320000000003</v>
      </c>
      <c r="K54" s="50">
        <f t="shared" si="7"/>
        <v>8.7895772894743974E-3</v>
      </c>
      <c r="L54" s="129">
        <v>41</v>
      </c>
      <c r="M54" s="130">
        <v>19968</v>
      </c>
      <c r="N54" s="130">
        <v>8887</v>
      </c>
      <c r="O54" s="170">
        <v>7962.9418009999999</v>
      </c>
      <c r="P54" s="132">
        <f t="shared" si="8"/>
        <v>1.3869469461167294E-2</v>
      </c>
    </row>
    <row r="55" spans="1:16" x14ac:dyDescent="0.2">
      <c r="A55" s="115" t="str">
        <f>$A$15</f>
        <v>LPP 2005</v>
      </c>
      <c r="B55" s="33">
        <v>25</v>
      </c>
      <c r="C55" s="8">
        <v>15860</v>
      </c>
      <c r="D55" s="8">
        <v>4046</v>
      </c>
      <c r="E55" s="153">
        <v>6429.1760000000004</v>
      </c>
      <c r="F55" s="34">
        <f t="shared" si="6"/>
        <v>8.9730301697828231E-3</v>
      </c>
      <c r="G55" s="47">
        <v>41</v>
      </c>
      <c r="H55" s="48">
        <v>26894</v>
      </c>
      <c r="I55" s="48">
        <v>10804</v>
      </c>
      <c r="J55" s="163">
        <v>10662.434999999999</v>
      </c>
      <c r="K55" s="50">
        <f t="shared" si="7"/>
        <v>1.7055716448928181E-2</v>
      </c>
      <c r="L55" s="129">
        <v>67</v>
      </c>
      <c r="M55" s="130">
        <v>130638</v>
      </c>
      <c r="N55" s="130">
        <v>54052</v>
      </c>
      <c r="O55" s="170">
        <v>19229.709666000002</v>
      </c>
      <c r="P55" s="132">
        <f t="shared" si="8"/>
        <v>3.3493384433150974E-2</v>
      </c>
    </row>
    <row r="56" spans="1:16" x14ac:dyDescent="0.2">
      <c r="A56" s="115" t="str">
        <f>$A$16</f>
        <v>LPP 2010</v>
      </c>
      <c r="B56" s="33">
        <v>1238</v>
      </c>
      <c r="C56" s="8">
        <v>2028159</v>
      </c>
      <c r="D56" s="8">
        <v>576572</v>
      </c>
      <c r="E56" s="153">
        <v>514498.07799999998</v>
      </c>
      <c r="F56" s="34">
        <f t="shared" si="6"/>
        <v>0.71807130123506901</v>
      </c>
      <c r="G56" s="47">
        <v>1244</v>
      </c>
      <c r="H56" s="48">
        <v>1792263</v>
      </c>
      <c r="I56" s="48">
        <v>528534</v>
      </c>
      <c r="J56" s="163">
        <v>440187.86800000002</v>
      </c>
      <c r="K56" s="50">
        <f t="shared" si="7"/>
        <v>0.70412804025217768</v>
      </c>
      <c r="L56" s="129">
        <v>1113</v>
      </c>
      <c r="M56" s="130">
        <v>1535657</v>
      </c>
      <c r="N56" s="130">
        <v>455305</v>
      </c>
      <c r="O56" s="170">
        <v>370398.29859800014</v>
      </c>
      <c r="P56" s="132">
        <f t="shared" si="8"/>
        <v>0.64514196125710044</v>
      </c>
    </row>
    <row r="57" spans="1:16" ht="12.75" customHeight="1" x14ac:dyDescent="0.2">
      <c r="A57" s="115" t="str">
        <f>$A$17</f>
        <v>VZ 1990</v>
      </c>
      <c r="B57" s="33">
        <v>0</v>
      </c>
      <c r="C57" s="8">
        <v>0</v>
      </c>
      <c r="D57" s="8">
        <v>0</v>
      </c>
      <c r="E57" s="153">
        <v>0</v>
      </c>
      <c r="F57" s="34">
        <f t="shared" si="6"/>
        <v>0</v>
      </c>
      <c r="G57" s="47">
        <v>1</v>
      </c>
      <c r="H57" s="48">
        <v>9</v>
      </c>
      <c r="I57" s="48">
        <v>0</v>
      </c>
      <c r="J57" s="163">
        <v>1.171</v>
      </c>
      <c r="K57" s="50">
        <f t="shared" si="7"/>
        <v>1.8731409815576744E-6</v>
      </c>
      <c r="L57" s="129">
        <v>1</v>
      </c>
      <c r="M57" s="130">
        <v>11</v>
      </c>
      <c r="N57" s="130">
        <v>0</v>
      </c>
      <c r="O57" s="170">
        <v>1.1180000000000001</v>
      </c>
      <c r="P57" s="132">
        <f t="shared" si="8"/>
        <v>1.9472786873360996E-6</v>
      </c>
    </row>
    <row r="58" spans="1:16" ht="12.75" customHeight="1" x14ac:dyDescent="0.2">
      <c r="A58" s="115" t="str">
        <f>$A$18</f>
        <v>VZ 2000</v>
      </c>
      <c r="B58" s="33">
        <v>0</v>
      </c>
      <c r="C58" s="8">
        <v>0</v>
      </c>
      <c r="D58" s="8">
        <v>0</v>
      </c>
      <c r="E58" s="153">
        <v>0</v>
      </c>
      <c r="F58" s="34">
        <f t="shared" si="6"/>
        <v>0</v>
      </c>
      <c r="G58" s="47">
        <v>1</v>
      </c>
      <c r="H58" s="48">
        <v>130</v>
      </c>
      <c r="I58" s="48">
        <v>72</v>
      </c>
      <c r="J58" s="163">
        <v>28.2</v>
      </c>
      <c r="K58" s="50">
        <f t="shared" si="7"/>
        <v>4.5108945926495657E-5</v>
      </c>
      <c r="L58" s="129">
        <v>2</v>
      </c>
      <c r="M58" s="130">
        <v>0</v>
      </c>
      <c r="N58" s="130">
        <v>97</v>
      </c>
      <c r="O58" s="170">
        <v>7.3620000000000001</v>
      </c>
      <c r="P58" s="132">
        <f t="shared" si="8"/>
        <v>1.2822777903549521E-5</v>
      </c>
    </row>
    <row r="59" spans="1:16" ht="12.75" customHeight="1" x14ac:dyDescent="0.2">
      <c r="A59" s="115" t="str">
        <f>$A$19</f>
        <v>VZ 2005</v>
      </c>
      <c r="B59" s="33">
        <v>20</v>
      </c>
      <c r="C59" s="8">
        <v>7154</v>
      </c>
      <c r="D59" s="8">
        <v>1398</v>
      </c>
      <c r="E59" s="153">
        <v>1426.722</v>
      </c>
      <c r="F59" s="34">
        <f t="shared" si="6"/>
        <v>1.991237998445351E-3</v>
      </c>
      <c r="G59" s="47">
        <v>28</v>
      </c>
      <c r="H59" s="48">
        <v>7848</v>
      </c>
      <c r="I59" s="48">
        <v>2249</v>
      </c>
      <c r="J59" s="163">
        <v>2222.5949999999998</v>
      </c>
      <c r="K59" s="50">
        <f t="shared" si="7"/>
        <v>3.555280768492894E-3</v>
      </c>
      <c r="L59" s="129">
        <v>21</v>
      </c>
      <c r="M59" s="130">
        <v>87187</v>
      </c>
      <c r="N59" s="130">
        <v>32653</v>
      </c>
      <c r="O59" s="170">
        <v>24870.491002000002</v>
      </c>
      <c r="P59" s="132">
        <f t="shared" si="8"/>
        <v>4.3318226361161748E-2</v>
      </c>
    </row>
    <row r="60" spans="1:16" ht="12.75" customHeight="1" x14ac:dyDescent="0.2">
      <c r="A60" s="115" t="str">
        <f>$A$20</f>
        <v>VZ 2010</v>
      </c>
      <c r="B60" s="33">
        <v>125</v>
      </c>
      <c r="C60" s="8">
        <v>305920</v>
      </c>
      <c r="D60" s="8">
        <v>117808</v>
      </c>
      <c r="E60" s="153">
        <v>106176.34699999999</v>
      </c>
      <c r="F60" s="34">
        <f t="shared" si="6"/>
        <v>0.14818750722461632</v>
      </c>
      <c r="G60" s="47">
        <v>122</v>
      </c>
      <c r="H60" s="48">
        <v>284067</v>
      </c>
      <c r="I60" s="48">
        <v>108506</v>
      </c>
      <c r="J60" s="163">
        <v>94033.27</v>
      </c>
      <c r="K60" s="50">
        <f t="shared" si="7"/>
        <v>0.15041637204686406</v>
      </c>
      <c r="L60" s="129">
        <v>115</v>
      </c>
      <c r="M60" s="130">
        <v>143615</v>
      </c>
      <c r="N60" s="130">
        <v>53815</v>
      </c>
      <c r="O60" s="170">
        <v>44797.764828000007</v>
      </c>
      <c r="P60" s="132">
        <f t="shared" si="8"/>
        <v>7.8026594534757729E-2</v>
      </c>
    </row>
    <row r="61" spans="1:16" ht="12.75" customHeight="1" x14ac:dyDescent="0.2">
      <c r="A61" s="115" t="str">
        <f>$A$21</f>
        <v>Autre</v>
      </c>
      <c r="B61" s="33">
        <v>6</v>
      </c>
      <c r="C61" s="8">
        <v>636</v>
      </c>
      <c r="D61" s="8">
        <v>26</v>
      </c>
      <c r="E61" s="153">
        <v>21.984999999999999</v>
      </c>
      <c r="F61" s="34">
        <f t="shared" si="6"/>
        <v>3.0683880528807322E-5</v>
      </c>
      <c r="G61" s="47">
        <v>11</v>
      </c>
      <c r="H61" s="48">
        <v>79781</v>
      </c>
      <c r="I61" s="48">
        <v>7264</v>
      </c>
      <c r="J61" s="163">
        <v>9972.4860000000008</v>
      </c>
      <c r="K61" s="50">
        <f t="shared" si="7"/>
        <v>1.595206850094805E-2</v>
      </c>
      <c r="L61" s="189" t="str">
        <f>Translation!$A$433</f>
        <v>non saisi séparément</v>
      </c>
      <c r="M61" s="190"/>
      <c r="N61" s="190"/>
      <c r="O61" s="190"/>
      <c r="P61" s="191"/>
    </row>
    <row r="62" spans="1:16" ht="12.75" customHeight="1" x14ac:dyDescent="0.2">
      <c r="A62" s="115" t="str">
        <f>$A$22</f>
        <v>Aucune (contrat d'assurance)</v>
      </c>
      <c r="B62" s="33">
        <v>221</v>
      </c>
      <c r="C62" s="8">
        <v>1279794</v>
      </c>
      <c r="D62" s="8">
        <v>14187</v>
      </c>
      <c r="E62" s="153">
        <v>83785.095000000001</v>
      </c>
      <c r="F62" s="34">
        <f t="shared" si="6"/>
        <v>0.11693663157037854</v>
      </c>
      <c r="G62" s="186" t="str">
        <f>Translation!$A$433</f>
        <v>non saisi séparément</v>
      </c>
      <c r="H62" s="187"/>
      <c r="I62" s="187"/>
      <c r="J62" s="187"/>
      <c r="K62" s="188"/>
      <c r="L62" s="189" t="str">
        <f>Translation!$A$433</f>
        <v>non saisi séparément</v>
      </c>
      <c r="M62" s="190"/>
      <c r="N62" s="190"/>
      <c r="O62" s="190"/>
      <c r="P62" s="191"/>
    </row>
    <row r="63" spans="1:16" ht="12.75" customHeight="1" x14ac:dyDescent="0.2">
      <c r="A63" s="115" t="str">
        <f>$A$23</f>
        <v>Aucune (prestations temporaires)</v>
      </c>
      <c r="B63" s="33">
        <v>15</v>
      </c>
      <c r="C63" s="8">
        <v>3931</v>
      </c>
      <c r="D63" s="8">
        <v>256</v>
      </c>
      <c r="E63" s="153">
        <v>540.58299999999997</v>
      </c>
      <c r="F63" s="34">
        <f t="shared" si="6"/>
        <v>7.5447733399609958E-4</v>
      </c>
      <c r="G63" s="186" t="str">
        <f>Translation!$A$433</f>
        <v>non saisi séparément</v>
      </c>
      <c r="H63" s="187"/>
      <c r="I63" s="187"/>
      <c r="J63" s="187"/>
      <c r="K63" s="188"/>
      <c r="L63" s="189" t="str">
        <f>Translation!$A$433</f>
        <v>non saisi séparément</v>
      </c>
      <c r="M63" s="190"/>
      <c r="N63" s="190"/>
      <c r="O63" s="190"/>
      <c r="P63" s="191"/>
    </row>
    <row r="64" spans="1:16" ht="12.75" customHeight="1" x14ac:dyDescent="0.2">
      <c r="A64" s="115" t="str">
        <f>$A$24</f>
        <v>Aucune (prestations sous forme de capital)</v>
      </c>
      <c r="B64" s="33">
        <v>122</v>
      </c>
      <c r="C64" s="8">
        <v>20909</v>
      </c>
      <c r="D64" s="8">
        <v>0</v>
      </c>
      <c r="E64" s="153">
        <v>3105.962</v>
      </c>
      <c r="F64" s="34">
        <f t="shared" si="6"/>
        <v>4.3349086620430048E-3</v>
      </c>
      <c r="G64" s="47">
        <v>333</v>
      </c>
      <c r="H64" s="48">
        <v>1342584</v>
      </c>
      <c r="I64" s="48">
        <v>111111</v>
      </c>
      <c r="J64" s="163">
        <v>51974.623</v>
      </c>
      <c r="K64" s="50">
        <f>J64/J$76</f>
        <v>8.3139023349538918E-2</v>
      </c>
      <c r="L64" s="129">
        <v>337</v>
      </c>
      <c r="M64" s="130">
        <v>1301903</v>
      </c>
      <c r="N64" s="130">
        <v>121999.99999999999</v>
      </c>
      <c r="O64" s="170">
        <v>80807.541979999995</v>
      </c>
      <c r="P64" s="132">
        <f>O64/O$76</f>
        <v>0.14074669434138742</v>
      </c>
    </row>
    <row r="65" spans="1:16" ht="12.75" hidden="1" customHeight="1" x14ac:dyDescent="0.2">
      <c r="A65" s="115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716499.98699999996</v>
      </c>
      <c r="F76" s="67">
        <f t="shared" ref="F76:J76" si="9">SUM(F$52:F$75)</f>
        <v>1.0000000000000002</v>
      </c>
      <c r="G76" s="51">
        <f t="shared" si="9"/>
        <v>1847</v>
      </c>
      <c r="H76" s="68">
        <f t="shared" si="9"/>
        <v>3574632</v>
      </c>
      <c r="I76" s="68">
        <f t="shared" si="9"/>
        <v>783627</v>
      </c>
      <c r="J76" s="164">
        <f t="shared" si="9"/>
        <v>625153.15800000005</v>
      </c>
      <c r="K76" s="69">
        <f t="shared" ref="K76:O76" si="10">SUM(K$52:K$75)</f>
        <v>1</v>
      </c>
      <c r="L76" s="133">
        <f t="shared" si="10"/>
        <v>1796</v>
      </c>
      <c r="M76" s="134">
        <f t="shared" si="10"/>
        <v>3315149</v>
      </c>
      <c r="N76" s="134">
        <f t="shared" si="10"/>
        <v>755701</v>
      </c>
      <c r="O76" s="171">
        <f t="shared" si="10"/>
        <v>574134.56392800016</v>
      </c>
      <c r="P76" s="136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institutions de prévoyance avec garantie étatique</v>
      </c>
    </row>
    <row r="92" spans="1:16" x14ac:dyDescent="0.2">
      <c r="A92" s="115" t="str">
        <f>$A$12</f>
        <v>CFP 1990</v>
      </c>
      <c r="B92" s="36">
        <v>0</v>
      </c>
      <c r="C92" s="10">
        <v>0</v>
      </c>
      <c r="D92" s="10">
        <v>0</v>
      </c>
      <c r="E92" s="155">
        <v>0</v>
      </c>
      <c r="F92" s="37">
        <f t="shared" ref="F92:F104" si="11">E92/E$116</f>
        <v>0</v>
      </c>
      <c r="G92" s="53">
        <v>0</v>
      </c>
      <c r="H92" s="54">
        <v>0</v>
      </c>
      <c r="I92" s="54">
        <v>0</v>
      </c>
      <c r="J92" s="165">
        <v>0</v>
      </c>
      <c r="K92" s="56">
        <f t="shared" ref="K92:K101" si="12">J92/J$116</f>
        <v>0</v>
      </c>
      <c r="L92" s="137">
        <v>0</v>
      </c>
      <c r="M92" s="138">
        <v>0</v>
      </c>
      <c r="N92" s="138">
        <v>0</v>
      </c>
      <c r="O92" s="172">
        <v>0</v>
      </c>
      <c r="P92" s="140">
        <f t="shared" ref="P92:P100" si="13">O92/O$116</f>
        <v>0</v>
      </c>
    </row>
    <row r="93" spans="1:16" x14ac:dyDescent="0.2">
      <c r="A93" s="115" t="str">
        <f>$A$13</f>
        <v>CFP 2000</v>
      </c>
      <c r="B93" s="36">
        <v>2</v>
      </c>
      <c r="C93" s="10">
        <v>27012</v>
      </c>
      <c r="D93" s="10">
        <v>10505</v>
      </c>
      <c r="E93" s="155">
        <v>8610.7659999999996</v>
      </c>
      <c r="F93" s="37">
        <f t="shared" si="11"/>
        <v>8.1545605763755732E-2</v>
      </c>
      <c r="G93" s="53">
        <v>4</v>
      </c>
      <c r="H93" s="54">
        <v>29173</v>
      </c>
      <c r="I93" s="54">
        <v>10027</v>
      </c>
      <c r="J93" s="165">
        <v>6731.47</v>
      </c>
      <c r="K93" s="56">
        <f t="shared" si="12"/>
        <v>6.408507558040806E-2</v>
      </c>
      <c r="L93" s="137">
        <v>9</v>
      </c>
      <c r="M93" s="138">
        <v>125720</v>
      </c>
      <c r="N93" s="138">
        <v>58843</v>
      </c>
      <c r="O93" s="172">
        <v>33167.781000000003</v>
      </c>
      <c r="P93" s="140">
        <f t="shared" si="13"/>
        <v>0.33584326693673111</v>
      </c>
    </row>
    <row r="94" spans="1:16" x14ac:dyDescent="0.2">
      <c r="A94" s="115" t="str">
        <f>$A$14</f>
        <v>LPP 2000</v>
      </c>
      <c r="B94" s="36">
        <v>0</v>
      </c>
      <c r="C94" s="10">
        <v>0</v>
      </c>
      <c r="D94" s="10">
        <v>0</v>
      </c>
      <c r="E94" s="155">
        <v>0</v>
      </c>
      <c r="F94" s="37">
        <f t="shared" si="11"/>
        <v>0</v>
      </c>
      <c r="G94" s="53">
        <v>0</v>
      </c>
      <c r="H94" s="54">
        <v>0</v>
      </c>
      <c r="I94" s="54">
        <v>0</v>
      </c>
      <c r="J94" s="165">
        <v>0</v>
      </c>
      <c r="K94" s="56">
        <f t="shared" si="12"/>
        <v>0</v>
      </c>
      <c r="L94" s="137">
        <v>0</v>
      </c>
      <c r="M94" s="138">
        <v>0</v>
      </c>
      <c r="N94" s="138">
        <v>0</v>
      </c>
      <c r="O94" s="172">
        <v>0</v>
      </c>
      <c r="P94" s="140">
        <f t="shared" si="13"/>
        <v>0</v>
      </c>
    </row>
    <row r="95" spans="1:16" x14ac:dyDescent="0.2">
      <c r="A95" s="115" t="str">
        <f>$A$15</f>
        <v>LPP 2005</v>
      </c>
      <c r="B95" s="36">
        <v>0</v>
      </c>
      <c r="C95" s="10">
        <v>0</v>
      </c>
      <c r="D95" s="10">
        <v>0</v>
      </c>
      <c r="E95" s="155">
        <v>0</v>
      </c>
      <c r="F95" s="37">
        <f t="shared" si="11"/>
        <v>0</v>
      </c>
      <c r="G95" s="53">
        <v>0</v>
      </c>
      <c r="H95" s="54">
        <v>0</v>
      </c>
      <c r="I95" s="54">
        <v>0</v>
      </c>
      <c r="J95" s="165">
        <v>0</v>
      </c>
      <c r="K95" s="56">
        <f t="shared" si="12"/>
        <v>0</v>
      </c>
      <c r="L95" s="137">
        <v>1</v>
      </c>
      <c r="M95" s="138">
        <v>269</v>
      </c>
      <c r="N95" s="138">
        <v>277</v>
      </c>
      <c r="O95" s="172">
        <v>133.60300000000001</v>
      </c>
      <c r="P95" s="140">
        <f t="shared" si="13"/>
        <v>1.3528088596746369E-3</v>
      </c>
    </row>
    <row r="96" spans="1:16" x14ac:dyDescent="0.2">
      <c r="A96" s="115" t="str">
        <f>$A$16</f>
        <v>LPP 2010</v>
      </c>
      <c r="B96" s="36">
        <v>17</v>
      </c>
      <c r="C96" s="10">
        <v>112431</v>
      </c>
      <c r="D96" s="10">
        <v>47907</v>
      </c>
      <c r="E96" s="155">
        <v>34774.946000000004</v>
      </c>
      <c r="F96" s="37">
        <f t="shared" si="11"/>
        <v>0.32932540925765424</v>
      </c>
      <c r="G96" s="53">
        <v>18</v>
      </c>
      <c r="H96" s="54">
        <v>117834</v>
      </c>
      <c r="I96" s="54">
        <v>49255</v>
      </c>
      <c r="J96" s="165">
        <v>36653.254000000001</v>
      </c>
      <c r="K96" s="56">
        <f t="shared" si="12"/>
        <v>0.34894704319530417</v>
      </c>
      <c r="L96" s="137">
        <v>16</v>
      </c>
      <c r="M96" s="138">
        <v>93935</v>
      </c>
      <c r="N96" s="138">
        <v>32170.000000000004</v>
      </c>
      <c r="O96" s="172">
        <v>25550.779000000002</v>
      </c>
      <c r="P96" s="140">
        <f t="shared" si="13"/>
        <v>0.25871664710215087</v>
      </c>
    </row>
    <row r="97" spans="1:16" ht="12.75" customHeight="1" x14ac:dyDescent="0.2">
      <c r="A97" s="115" t="str">
        <f>$A$17</f>
        <v>VZ 1990</v>
      </c>
      <c r="B97" s="36">
        <v>0</v>
      </c>
      <c r="C97" s="10">
        <v>0</v>
      </c>
      <c r="D97" s="10">
        <v>0</v>
      </c>
      <c r="E97" s="155">
        <v>0</v>
      </c>
      <c r="F97" s="37">
        <f t="shared" si="11"/>
        <v>0</v>
      </c>
      <c r="G97" s="53">
        <v>0</v>
      </c>
      <c r="H97" s="54">
        <v>0</v>
      </c>
      <c r="I97" s="54">
        <v>0</v>
      </c>
      <c r="J97" s="165">
        <v>0</v>
      </c>
      <c r="K97" s="56">
        <f t="shared" si="12"/>
        <v>0</v>
      </c>
      <c r="L97" s="137">
        <v>0</v>
      </c>
      <c r="M97" s="138">
        <v>0</v>
      </c>
      <c r="N97" s="138">
        <v>0</v>
      </c>
      <c r="O97" s="172">
        <v>0</v>
      </c>
      <c r="P97" s="140">
        <f t="shared" si="13"/>
        <v>0</v>
      </c>
    </row>
    <row r="98" spans="1:16" ht="12.75" customHeight="1" x14ac:dyDescent="0.2">
      <c r="A98" s="115" t="str">
        <f>$A$18</f>
        <v>VZ 2000</v>
      </c>
      <c r="B98" s="36">
        <v>0</v>
      </c>
      <c r="C98" s="10">
        <v>0</v>
      </c>
      <c r="D98" s="10">
        <v>0</v>
      </c>
      <c r="E98" s="155">
        <v>0</v>
      </c>
      <c r="F98" s="37">
        <f t="shared" si="11"/>
        <v>0</v>
      </c>
      <c r="G98" s="53">
        <v>3</v>
      </c>
      <c r="H98" s="54">
        <v>8310</v>
      </c>
      <c r="I98" s="54">
        <v>4932</v>
      </c>
      <c r="J98" s="165">
        <v>3456.6689999999999</v>
      </c>
      <c r="K98" s="56">
        <f t="shared" si="12"/>
        <v>3.2908249479155896E-2</v>
      </c>
      <c r="L98" s="137">
        <v>5</v>
      </c>
      <c r="M98" s="138">
        <v>52950</v>
      </c>
      <c r="N98" s="138">
        <v>24062</v>
      </c>
      <c r="O98" s="172">
        <v>12137.159</v>
      </c>
      <c r="P98" s="140">
        <f t="shared" si="13"/>
        <v>0.12289586481201586</v>
      </c>
    </row>
    <row r="99" spans="1:16" ht="12.75" customHeight="1" x14ac:dyDescent="0.2">
      <c r="A99" s="115" t="str">
        <f>$A$19</f>
        <v>VZ 2005</v>
      </c>
      <c r="B99" s="36">
        <v>2</v>
      </c>
      <c r="C99" s="10">
        <v>13</v>
      </c>
      <c r="D99" s="10">
        <v>38</v>
      </c>
      <c r="E99" s="155">
        <v>60.838999999999999</v>
      </c>
      <c r="F99" s="37">
        <f t="shared" si="11"/>
        <v>5.7615700032507384E-4</v>
      </c>
      <c r="G99" s="53">
        <v>7</v>
      </c>
      <c r="H99" s="54">
        <v>30090</v>
      </c>
      <c r="I99" s="54">
        <v>10337</v>
      </c>
      <c r="J99" s="165">
        <v>7176.2389999999996</v>
      </c>
      <c r="K99" s="56">
        <f t="shared" si="12"/>
        <v>6.8319374326569371E-2</v>
      </c>
      <c r="L99" s="137">
        <v>9</v>
      </c>
      <c r="M99" s="138">
        <v>30839</v>
      </c>
      <c r="N99" s="138">
        <v>10363</v>
      </c>
      <c r="O99" s="172">
        <v>6791.4541150000005</v>
      </c>
      <c r="P99" s="140">
        <f t="shared" si="13"/>
        <v>6.8767462533369544E-2</v>
      </c>
    </row>
    <row r="100" spans="1:16" ht="12.75" customHeight="1" x14ac:dyDescent="0.2">
      <c r="A100" s="115" t="str">
        <f>$A$20</f>
        <v>VZ 2010</v>
      </c>
      <c r="B100" s="36">
        <v>22</v>
      </c>
      <c r="C100" s="10">
        <v>199924</v>
      </c>
      <c r="D100" s="10">
        <v>95462</v>
      </c>
      <c r="E100" s="155">
        <v>62147.930999999997</v>
      </c>
      <c r="F100" s="37">
        <f t="shared" si="11"/>
        <v>0.58855282797826503</v>
      </c>
      <c r="G100" s="53">
        <v>23</v>
      </c>
      <c r="H100" s="54">
        <v>172254</v>
      </c>
      <c r="I100" s="54">
        <v>85031</v>
      </c>
      <c r="J100" s="165">
        <v>51015.383999999998</v>
      </c>
      <c r="K100" s="56">
        <f t="shared" si="12"/>
        <v>0.48567768101225145</v>
      </c>
      <c r="L100" s="137">
        <v>23</v>
      </c>
      <c r="M100" s="138">
        <v>71303</v>
      </c>
      <c r="N100" s="138">
        <v>27750</v>
      </c>
      <c r="O100" s="172">
        <v>19774.156999999999</v>
      </c>
      <c r="P100" s="140">
        <f t="shared" si="13"/>
        <v>0.20022495589318531</v>
      </c>
    </row>
    <row r="101" spans="1:16" ht="12.75" customHeight="1" x14ac:dyDescent="0.2">
      <c r="A101" s="115" t="str">
        <f>$A$21</f>
        <v>Autre</v>
      </c>
      <c r="B101" s="36">
        <v>0</v>
      </c>
      <c r="C101" s="10">
        <v>0</v>
      </c>
      <c r="D101" s="10">
        <v>0</v>
      </c>
      <c r="E101" s="155">
        <v>0</v>
      </c>
      <c r="F101" s="37">
        <f t="shared" si="11"/>
        <v>0</v>
      </c>
      <c r="G101" s="53">
        <v>1</v>
      </c>
      <c r="H101" s="54">
        <v>59</v>
      </c>
      <c r="I101" s="54">
        <v>20</v>
      </c>
      <c r="J101" s="165">
        <v>5.633</v>
      </c>
      <c r="K101" s="56">
        <f t="shared" si="12"/>
        <v>5.3627399475068394E-5</v>
      </c>
      <c r="L101" s="192" t="str">
        <f>Translation!$A$433</f>
        <v>non saisi séparément</v>
      </c>
      <c r="M101" s="193"/>
      <c r="N101" s="193"/>
      <c r="O101" s="193"/>
      <c r="P101" s="194"/>
    </row>
    <row r="102" spans="1:16" ht="12.75" customHeight="1" x14ac:dyDescent="0.2">
      <c r="A102" s="115" t="str">
        <f>$A$22</f>
        <v>Aucune (contrat d'assurance)</v>
      </c>
      <c r="B102" s="36">
        <v>0</v>
      </c>
      <c r="C102" s="10">
        <v>0</v>
      </c>
      <c r="D102" s="10">
        <v>0</v>
      </c>
      <c r="E102" s="155">
        <v>0</v>
      </c>
      <c r="F102" s="37">
        <f t="shared" si="11"/>
        <v>0</v>
      </c>
      <c r="G102" s="195" t="str">
        <f>Translation!$A$433</f>
        <v>non saisi séparément</v>
      </c>
      <c r="H102" s="196"/>
      <c r="I102" s="196"/>
      <c r="J102" s="196"/>
      <c r="K102" s="197"/>
      <c r="L102" s="192" t="str">
        <f>Translation!$A$433</f>
        <v>non saisi séparément</v>
      </c>
      <c r="M102" s="193"/>
      <c r="N102" s="193"/>
      <c r="O102" s="193"/>
      <c r="P102" s="194"/>
    </row>
    <row r="103" spans="1:16" ht="12.75" customHeight="1" x14ac:dyDescent="0.2">
      <c r="A103" s="115" t="str">
        <f>$A$23</f>
        <v>Aucune (prestations temporaires)</v>
      </c>
      <c r="B103" s="36">
        <v>0</v>
      </c>
      <c r="C103" s="10">
        <v>0</v>
      </c>
      <c r="D103" s="10">
        <v>0</v>
      </c>
      <c r="E103" s="155">
        <v>0</v>
      </c>
      <c r="F103" s="37">
        <f t="shared" si="11"/>
        <v>0</v>
      </c>
      <c r="G103" s="195" t="str">
        <f>Translation!$A$433</f>
        <v>non saisi séparément</v>
      </c>
      <c r="H103" s="196"/>
      <c r="I103" s="196"/>
      <c r="J103" s="196"/>
      <c r="K103" s="197"/>
      <c r="L103" s="192" t="str">
        <f>Translation!$A$433</f>
        <v>non saisi séparément</v>
      </c>
      <c r="M103" s="193"/>
      <c r="N103" s="193"/>
      <c r="O103" s="193"/>
      <c r="P103" s="194"/>
    </row>
    <row r="104" spans="1:16" ht="12.75" customHeight="1" x14ac:dyDescent="0.2">
      <c r="A104" s="115" t="str">
        <f>$A$24</f>
        <v>Aucune (prestations sous forme de capital)</v>
      </c>
      <c r="B104" s="36">
        <v>0</v>
      </c>
      <c r="C104" s="10">
        <v>0</v>
      </c>
      <c r="D104" s="10">
        <v>0</v>
      </c>
      <c r="E104" s="155">
        <v>0</v>
      </c>
      <c r="F104" s="37">
        <f t="shared" si="11"/>
        <v>0</v>
      </c>
      <c r="G104" s="53">
        <v>2</v>
      </c>
      <c r="H104" s="54">
        <v>396</v>
      </c>
      <c r="I104" s="54">
        <v>103</v>
      </c>
      <c r="J104" s="165">
        <v>0.94</v>
      </c>
      <c r="K104" s="56">
        <f>J104/J$116</f>
        <v>8.949006835889275E-6</v>
      </c>
      <c r="L104" s="137">
        <v>3</v>
      </c>
      <c r="M104" s="138">
        <v>10333</v>
      </c>
      <c r="N104" s="138">
        <v>1779</v>
      </c>
      <c r="O104" s="172">
        <v>1204.769</v>
      </c>
      <c r="P104" s="140">
        <f>O104/O$116</f>
        <v>1.2198993862872485E-2</v>
      </c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105594.48199999999</v>
      </c>
      <c r="F116" s="70">
        <f t="shared" ref="F116:J116" si="14">SUM(F$92:F$115)</f>
        <v>1</v>
      </c>
      <c r="G116" s="57">
        <f t="shared" si="14"/>
        <v>58</v>
      </c>
      <c r="H116" s="71">
        <f t="shared" si="14"/>
        <v>358116</v>
      </c>
      <c r="I116" s="71">
        <f t="shared" si="14"/>
        <v>159705</v>
      </c>
      <c r="J116" s="166">
        <f t="shared" si="14"/>
        <v>105039.58900000001</v>
      </c>
      <c r="K116" s="72">
        <f t="shared" ref="K116:O116" si="15">SUM(K$92:K$115)</f>
        <v>0.99999999999999989</v>
      </c>
      <c r="L116" s="141">
        <f t="shared" si="15"/>
        <v>66</v>
      </c>
      <c r="M116" s="142">
        <f t="shared" si="15"/>
        <v>385349</v>
      </c>
      <c r="N116" s="142">
        <f t="shared" si="15"/>
        <v>155244</v>
      </c>
      <c r="O116" s="173">
        <f t="shared" si="15"/>
        <v>98759.702115000022</v>
      </c>
      <c r="P116" s="144">
        <f>SUM(P$92:P$115)</f>
        <v>0.99999999999999978</v>
      </c>
    </row>
    <row r="120" spans="1:16" x14ac:dyDescent="0.2">
      <c r="A120" s="111" t="str">
        <f>Translation!$A$36</f>
        <v>somme du bilan en millions de francs</v>
      </c>
    </row>
  </sheetData>
  <mergeCells count="18">
    <mergeCell ref="L101:P101"/>
    <mergeCell ref="L102:P102"/>
    <mergeCell ref="L103:P103"/>
    <mergeCell ref="G102:K102"/>
    <mergeCell ref="G103:K103"/>
    <mergeCell ref="L23:P23"/>
    <mergeCell ref="G22:K22"/>
    <mergeCell ref="G23:K23"/>
    <mergeCell ref="G62:K62"/>
    <mergeCell ref="G63:K63"/>
    <mergeCell ref="L61:P61"/>
    <mergeCell ref="L62:P62"/>
    <mergeCell ref="L63:P63"/>
    <mergeCell ref="B3:F3"/>
    <mergeCell ref="G3:K3"/>
    <mergeCell ref="L3:P3"/>
    <mergeCell ref="L21:P21"/>
    <mergeCell ref="L22:P22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23" orientation="landscape" cellComments="atEnd" r:id="rId1"/>
  <headerFooter>
    <oddFooter>&amp;L&amp;10&amp;F / &amp;A&amp;C&amp;10&amp;P / &amp;N&amp;R&amp;10OAK BV - RM / 12.05.2015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5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Translation!$A$182</f>
        <v>Tables périodiques et tables de génération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retour à la vue d'ensemble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/>
      <c r="B4" s="28" t="str">
        <f>Translation!$A$40</f>
        <v>Nombre d'IP</v>
      </c>
      <c r="C4" s="19" t="str">
        <f>Translation!$A$41</f>
        <v>Nombre d'assurés actifs</v>
      </c>
      <c r="D4" s="19" t="str">
        <f>Translation!$A$42</f>
        <v>Nombre de rentiers</v>
      </c>
      <c r="E4" s="149" t="str">
        <f>Translation!$A$43</f>
        <v>Somme du bilan</v>
      </c>
      <c r="F4" s="29" t="str">
        <f>Translation!$A$46</f>
        <v>Part de la somme du bilan</v>
      </c>
      <c r="G4" s="28" t="str">
        <f>Translation!$A$40</f>
        <v>Nombre d'IP</v>
      </c>
      <c r="H4" s="19" t="str">
        <f>Translation!$A$41</f>
        <v>Nombre d'assurés actifs</v>
      </c>
      <c r="I4" s="19" t="str">
        <f>Translation!$A$42</f>
        <v>Nombre de rentiers</v>
      </c>
      <c r="J4" s="149" t="str">
        <f>Translation!$A$43</f>
        <v>Somme du bilan</v>
      </c>
      <c r="K4" s="29" t="str">
        <f>Translation!$A$46</f>
        <v>Part de la somme du bilan</v>
      </c>
      <c r="L4" s="28" t="str">
        <f>Translation!$A$40</f>
        <v>Nombre d'IP</v>
      </c>
      <c r="M4" s="73" t="str">
        <f>Translation!$A$41</f>
        <v>Nombre d'assurés actifs</v>
      </c>
      <c r="N4" s="73" t="str">
        <f>Translation!$A$42</f>
        <v>Nombre de rentiers</v>
      </c>
      <c r="O4" s="149" t="str">
        <f>Translation!$A$43</f>
        <v>Somme du bilan</v>
      </c>
      <c r="P4" s="29" t="str">
        <f>Translation!$A$46</f>
        <v>Part de la somme du bilan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toutes les institutions de prévoyance</v>
      </c>
    </row>
    <row r="12" spans="1:16" x14ac:dyDescent="0.2">
      <c r="A12" s="115" t="str">
        <f>Translation!$A183</f>
        <v>Tables périodiques</v>
      </c>
      <c r="B12" s="30">
        <v>1121</v>
      </c>
      <c r="C12" s="6">
        <v>2269024</v>
      </c>
      <c r="D12" s="6">
        <v>653785</v>
      </c>
      <c r="E12" s="151">
        <v>555312.79399999999</v>
      </c>
      <c r="F12" s="31">
        <f>E12/E$36</f>
        <v>0.67548537904103079</v>
      </c>
      <c r="G12" s="41">
        <v>1218</v>
      </c>
      <c r="H12" s="42">
        <v>2064637</v>
      </c>
      <c r="I12" s="42">
        <v>646362</v>
      </c>
      <c r="J12" s="161">
        <v>522461.12</v>
      </c>
      <c r="K12" s="44">
        <f>J12/J$36</f>
        <v>0.71551124295130808</v>
      </c>
      <c r="L12" s="76">
        <v>1216</v>
      </c>
      <c r="M12" s="123">
        <v>2022389</v>
      </c>
      <c r="N12" s="123">
        <v>642740</v>
      </c>
      <c r="O12" s="168">
        <v>467648.34027900023</v>
      </c>
      <c r="P12" s="125">
        <f>O12/O$36</f>
        <v>0.69498042096425883</v>
      </c>
    </row>
    <row r="13" spans="1:16" x14ac:dyDescent="0.2">
      <c r="A13" s="115" t="str">
        <f>Translation!$A184</f>
        <v>Tables de génération</v>
      </c>
      <c r="B13" s="30">
        <v>366</v>
      </c>
      <c r="C13" s="6">
        <v>430379</v>
      </c>
      <c r="D13" s="6">
        <v>200590</v>
      </c>
      <c r="E13" s="151">
        <v>179350.035</v>
      </c>
      <c r="F13" s="31">
        <f>E13/E$36</f>
        <v>0.21816231803403605</v>
      </c>
      <c r="G13" s="41">
        <v>352</v>
      </c>
      <c r="H13" s="42">
        <v>525131</v>
      </c>
      <c r="I13" s="42">
        <v>185756</v>
      </c>
      <c r="J13" s="161">
        <v>155756.06400000001</v>
      </c>
      <c r="K13" s="44">
        <f>J13/J$36</f>
        <v>0.2133081499917994</v>
      </c>
      <c r="L13" s="76">
        <v>306</v>
      </c>
      <c r="M13" s="123">
        <v>365873</v>
      </c>
      <c r="N13" s="123">
        <v>144426</v>
      </c>
      <c r="O13" s="168">
        <v>123233.614784</v>
      </c>
      <c r="P13" s="125">
        <f>O13/O$36</f>
        <v>0.183139641698366</v>
      </c>
    </row>
    <row r="14" spans="1:16" x14ac:dyDescent="0.2">
      <c r="A14" s="115" t="str">
        <f>Translation!$A185</f>
        <v>Pas de rentes payées directement par l'IP</v>
      </c>
      <c r="B14" s="30">
        <v>358</v>
      </c>
      <c r="C14" s="6">
        <v>1304634</v>
      </c>
      <c r="D14" s="6">
        <v>14443</v>
      </c>
      <c r="E14" s="151">
        <v>87431.64</v>
      </c>
      <c r="F14" s="31">
        <f>E14/E$36</f>
        <v>0.10635230292493307</v>
      </c>
      <c r="G14" s="41">
        <v>335</v>
      </c>
      <c r="H14" s="42">
        <v>1342980</v>
      </c>
      <c r="I14" s="42">
        <v>111214</v>
      </c>
      <c r="J14" s="161">
        <v>51975.563000000002</v>
      </c>
      <c r="K14" s="44">
        <f>J14/J$36</f>
        <v>7.1180607056892609E-2</v>
      </c>
      <c r="L14" s="76">
        <v>340</v>
      </c>
      <c r="M14" s="123">
        <v>1312236</v>
      </c>
      <c r="N14" s="123">
        <v>123778.99999999999</v>
      </c>
      <c r="O14" s="168">
        <v>82012.310979999995</v>
      </c>
      <c r="P14" s="125">
        <f>O14/O$36</f>
        <v>0.12187993733737529</v>
      </c>
    </row>
    <row r="15" spans="1:16" hidden="1" x14ac:dyDescent="0.2">
      <c r="A15" s="115"/>
      <c r="B15" s="30"/>
      <c r="C15" s="6"/>
      <c r="D15" s="6"/>
      <c r="E15" s="151"/>
      <c r="F15" s="31"/>
      <c r="G15" s="41"/>
      <c r="H15" s="42"/>
      <c r="I15" s="42"/>
      <c r="J15" s="161"/>
      <c r="K15" s="44"/>
      <c r="L15" s="76"/>
      <c r="M15" s="123"/>
      <c r="N15" s="123"/>
      <c r="O15" s="168"/>
      <c r="P15" s="125"/>
    </row>
    <row r="16" spans="1:16" hidden="1" x14ac:dyDescent="0.2">
      <c r="A16" s="115"/>
      <c r="B16" s="30"/>
      <c r="C16" s="6"/>
      <c r="D16" s="6"/>
      <c r="E16" s="151"/>
      <c r="F16" s="31"/>
      <c r="G16" s="41"/>
      <c r="H16" s="42"/>
      <c r="I16" s="42"/>
      <c r="J16" s="161"/>
      <c r="K16" s="44"/>
      <c r="L16" s="76"/>
      <c r="M16" s="123"/>
      <c r="N16" s="123"/>
      <c r="O16" s="168"/>
      <c r="P16" s="125"/>
    </row>
    <row r="17" spans="2:16" ht="12.75" hidden="1" customHeight="1" x14ac:dyDescent="0.2">
      <c r="B17" s="30"/>
      <c r="C17" s="6"/>
      <c r="D17" s="6"/>
      <c r="E17" s="151"/>
      <c r="F17" s="31"/>
      <c r="G17" s="41"/>
      <c r="H17" s="42"/>
      <c r="I17" s="42"/>
      <c r="J17" s="161"/>
      <c r="K17" s="44"/>
      <c r="L17" s="76"/>
      <c r="M17" s="123"/>
      <c r="N17" s="123"/>
      <c r="O17" s="168"/>
      <c r="P17" s="125"/>
    </row>
    <row r="18" spans="2:16" ht="12.75" hidden="1" customHeight="1" x14ac:dyDescent="0.2">
      <c r="B18" s="30"/>
      <c r="C18" s="6"/>
      <c r="D18" s="6"/>
      <c r="E18" s="151"/>
      <c r="F18" s="31"/>
      <c r="G18" s="41"/>
      <c r="H18" s="42"/>
      <c r="I18" s="42"/>
      <c r="J18" s="161"/>
      <c r="K18" s="44"/>
      <c r="L18" s="76"/>
      <c r="M18" s="123"/>
      <c r="N18" s="123"/>
      <c r="O18" s="168"/>
      <c r="P18" s="125"/>
    </row>
    <row r="19" spans="2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2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2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2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2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2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2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2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2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2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2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2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2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2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0">SUM(C$12:C$35)</f>
        <v>4004037</v>
      </c>
      <c r="D36" s="7">
        <f t="shared" si="0"/>
        <v>868818</v>
      </c>
      <c r="E36" s="152">
        <f t="shared" si="0"/>
        <v>822094.46900000004</v>
      </c>
      <c r="F36" s="64">
        <f>SUM(F$12:F$35)</f>
        <v>0.99999999999999989</v>
      </c>
      <c r="G36" s="45">
        <f t="shared" ref="G36:J36" si="1">SUM(G$12:G$35)</f>
        <v>1905</v>
      </c>
      <c r="H36" s="65">
        <f t="shared" si="1"/>
        <v>3932748</v>
      </c>
      <c r="I36" s="65">
        <f t="shared" si="1"/>
        <v>943332</v>
      </c>
      <c r="J36" s="162">
        <f t="shared" si="1"/>
        <v>730192.74699999997</v>
      </c>
      <c r="K36" s="66">
        <f t="shared" ref="K36:O36" si="2">SUM(K$12:K$35)</f>
        <v>1</v>
      </c>
      <c r="L36" s="77">
        <f t="shared" si="2"/>
        <v>1862</v>
      </c>
      <c r="M36" s="126">
        <f t="shared" si="2"/>
        <v>3700498</v>
      </c>
      <c r="N36" s="126">
        <f t="shared" si="2"/>
        <v>910945</v>
      </c>
      <c r="O36" s="169">
        <f t="shared" si="2"/>
        <v>672894.26604300016</v>
      </c>
      <c r="P36" s="128">
        <f>SUM(P$12:P$35)</f>
        <v>1.0000000000000002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institutions de prévoyance sans garantie étatique</v>
      </c>
    </row>
    <row r="52" spans="1:16" x14ac:dyDescent="0.2">
      <c r="A52" s="115" t="str">
        <f>$A$12</f>
        <v>Tables périodiques</v>
      </c>
      <c r="B52" s="33">
        <v>1085</v>
      </c>
      <c r="C52" s="8">
        <v>1954615</v>
      </c>
      <c r="D52" s="8">
        <v>514037</v>
      </c>
      <c r="E52" s="153">
        <v>458010.24300000002</v>
      </c>
      <c r="F52" s="34">
        <f>E52/E$76</f>
        <v>0.63923273036988904</v>
      </c>
      <c r="G52" s="47">
        <v>1168</v>
      </c>
      <c r="H52" s="48">
        <v>1727847</v>
      </c>
      <c r="I52" s="48">
        <v>498483</v>
      </c>
      <c r="J52" s="163">
        <v>423863.57799999998</v>
      </c>
      <c r="K52" s="50">
        <f>J52/J$76</f>
        <v>0.67801557518485733</v>
      </c>
      <c r="L52" s="129">
        <v>1160</v>
      </c>
      <c r="M52" s="130">
        <v>1672114</v>
      </c>
      <c r="N52" s="130">
        <v>497408</v>
      </c>
      <c r="O52" s="170">
        <v>376747.86916400021</v>
      </c>
      <c r="P52" s="132">
        <f>O52/O$76</f>
        <v>0.65620133821319038</v>
      </c>
    </row>
    <row r="53" spans="1:16" x14ac:dyDescent="0.2">
      <c r="A53" s="115" t="str">
        <f>$A$13</f>
        <v>Tables de génération</v>
      </c>
      <c r="B53" s="33">
        <v>359</v>
      </c>
      <c r="C53" s="8">
        <v>405408</v>
      </c>
      <c r="D53" s="8">
        <v>186426</v>
      </c>
      <c r="E53" s="153">
        <v>171058.10399999999</v>
      </c>
      <c r="F53" s="34">
        <f>E53/E$76</f>
        <v>0.23874125206369329</v>
      </c>
      <c r="G53" s="47">
        <v>346</v>
      </c>
      <c r="H53" s="48">
        <v>504201</v>
      </c>
      <c r="I53" s="48">
        <v>174033</v>
      </c>
      <c r="J53" s="163">
        <v>149314.95699999999</v>
      </c>
      <c r="K53" s="50">
        <f>J53/J$76</f>
        <v>0.23884540146560373</v>
      </c>
      <c r="L53" s="129">
        <v>299</v>
      </c>
      <c r="M53" s="130">
        <v>341132</v>
      </c>
      <c r="N53" s="130">
        <v>136293</v>
      </c>
      <c r="O53" s="170">
        <v>116579.15278400001</v>
      </c>
      <c r="P53" s="132">
        <f>O53/O$76</f>
        <v>0.20305196744542228</v>
      </c>
    </row>
    <row r="54" spans="1:16" x14ac:dyDescent="0.2">
      <c r="A54" s="115" t="str">
        <f>$A$14</f>
        <v>Pas de rentes payées directement par l'IP</v>
      </c>
      <c r="B54" s="33">
        <v>358</v>
      </c>
      <c r="C54" s="8">
        <v>1304634</v>
      </c>
      <c r="D54" s="8">
        <v>14443</v>
      </c>
      <c r="E54" s="153">
        <v>87431.64</v>
      </c>
      <c r="F54" s="34">
        <f>E54/E$76</f>
        <v>0.12202601756641761</v>
      </c>
      <c r="G54" s="47">
        <v>333</v>
      </c>
      <c r="H54" s="48">
        <v>1342584</v>
      </c>
      <c r="I54" s="48">
        <v>111111</v>
      </c>
      <c r="J54" s="163">
        <v>51974.623</v>
      </c>
      <c r="K54" s="50">
        <f>J54/J$76</f>
        <v>8.3139023349538932E-2</v>
      </c>
      <c r="L54" s="129">
        <v>337</v>
      </c>
      <c r="M54" s="130">
        <v>1301903</v>
      </c>
      <c r="N54" s="130">
        <v>121999.99999999999</v>
      </c>
      <c r="O54" s="170">
        <v>80807.541979999995</v>
      </c>
      <c r="P54" s="132">
        <f>O54/O$76</f>
        <v>0.14074669434138742</v>
      </c>
    </row>
    <row r="55" spans="1:16" hidden="1" x14ac:dyDescent="0.2">
      <c r="A55" s="115">
        <f>$A$15</f>
        <v>0</v>
      </c>
      <c r="B55" s="33"/>
      <c r="C55" s="8"/>
      <c r="D55" s="8"/>
      <c r="E55" s="153"/>
      <c r="F55" s="34"/>
      <c r="G55" s="47"/>
      <c r="H55" s="48"/>
      <c r="I55" s="48"/>
      <c r="J55" s="163"/>
      <c r="K55" s="50"/>
      <c r="L55" s="129"/>
      <c r="M55" s="130"/>
      <c r="N55" s="130"/>
      <c r="O55" s="170"/>
      <c r="P55" s="132"/>
    </row>
    <row r="56" spans="1:16" hidden="1" x14ac:dyDescent="0.2">
      <c r="A56" s="115">
        <f>$A$16</f>
        <v>0</v>
      </c>
      <c r="B56" s="33"/>
      <c r="C56" s="8"/>
      <c r="D56" s="8"/>
      <c r="E56" s="153"/>
      <c r="F56" s="34"/>
      <c r="G56" s="47"/>
      <c r="H56" s="48"/>
      <c r="I56" s="48"/>
      <c r="J56" s="163"/>
      <c r="K56" s="50"/>
      <c r="L56" s="129"/>
      <c r="M56" s="130"/>
      <c r="N56" s="130"/>
      <c r="O56" s="170"/>
      <c r="P56" s="132"/>
    </row>
    <row r="57" spans="1:16" ht="12.75" hidden="1" customHeight="1" x14ac:dyDescent="0.2">
      <c r="A57" s="115">
        <f>$A$17</f>
        <v>0</v>
      </c>
      <c r="B57" s="33"/>
      <c r="C57" s="8"/>
      <c r="D57" s="8"/>
      <c r="E57" s="153"/>
      <c r="F57" s="34"/>
      <c r="G57" s="47"/>
      <c r="H57" s="48"/>
      <c r="I57" s="48"/>
      <c r="J57" s="163"/>
      <c r="K57" s="50"/>
      <c r="L57" s="129"/>
      <c r="M57" s="130"/>
      <c r="N57" s="130"/>
      <c r="O57" s="170"/>
      <c r="P57" s="132"/>
    </row>
    <row r="58" spans="1:16" ht="12.75" hidden="1" customHeight="1" x14ac:dyDescent="0.2">
      <c r="A58" s="115">
        <f>$A$18</f>
        <v>0</v>
      </c>
      <c r="B58" s="33"/>
      <c r="C58" s="8"/>
      <c r="D58" s="8"/>
      <c r="E58" s="153"/>
      <c r="F58" s="34"/>
      <c r="G58" s="47"/>
      <c r="H58" s="48"/>
      <c r="I58" s="48"/>
      <c r="J58" s="163"/>
      <c r="K58" s="50"/>
      <c r="L58" s="129"/>
      <c r="M58" s="130"/>
      <c r="N58" s="130"/>
      <c r="O58" s="170"/>
      <c r="P58" s="132"/>
    </row>
    <row r="59" spans="1:16" ht="12.75" hidden="1" customHeight="1" x14ac:dyDescent="0.2">
      <c r="A59" s="115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5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5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5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5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5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5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716499.98700000008</v>
      </c>
      <c r="F76" s="67">
        <f t="shared" ref="F76:J76" si="3">SUM(F$52:F$75)</f>
        <v>1</v>
      </c>
      <c r="G76" s="51">
        <f t="shared" si="3"/>
        <v>1847</v>
      </c>
      <c r="H76" s="68">
        <f t="shared" si="3"/>
        <v>3574632</v>
      </c>
      <c r="I76" s="68">
        <f t="shared" si="3"/>
        <v>783627</v>
      </c>
      <c r="J76" s="164">
        <f t="shared" si="3"/>
        <v>625153.15799999994</v>
      </c>
      <c r="K76" s="69">
        <f t="shared" ref="K76:O76" si="4">SUM(K$52:K$75)</f>
        <v>1</v>
      </c>
      <c r="L76" s="133">
        <f t="shared" si="4"/>
        <v>1796</v>
      </c>
      <c r="M76" s="134">
        <f t="shared" si="4"/>
        <v>3315149</v>
      </c>
      <c r="N76" s="134">
        <f t="shared" si="4"/>
        <v>755701</v>
      </c>
      <c r="O76" s="171">
        <f t="shared" si="4"/>
        <v>574134.56392800016</v>
      </c>
      <c r="P76" s="136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institutions de prévoyance avec garantie étatique</v>
      </c>
    </row>
    <row r="92" spans="1:16" x14ac:dyDescent="0.2">
      <c r="A92" s="115" t="str">
        <f>$A$12</f>
        <v>Tables périodiques</v>
      </c>
      <c r="B92" s="36">
        <v>36</v>
      </c>
      <c r="C92" s="10">
        <v>314409</v>
      </c>
      <c r="D92" s="10">
        <v>139748</v>
      </c>
      <c r="E92" s="155">
        <v>97302.551000000007</v>
      </c>
      <c r="F92" s="37">
        <f>E92/E$116</f>
        <v>0.92147382284615975</v>
      </c>
      <c r="G92" s="53">
        <v>50</v>
      </c>
      <c r="H92" s="54">
        <v>336790</v>
      </c>
      <c r="I92" s="54">
        <v>147879</v>
      </c>
      <c r="J92" s="165">
        <v>98597.542000000001</v>
      </c>
      <c r="K92" s="56">
        <f>J92/J$116</f>
        <v>0.93867029506370203</v>
      </c>
      <c r="L92" s="137">
        <v>56</v>
      </c>
      <c r="M92" s="138">
        <v>350275</v>
      </c>
      <c r="N92" s="138">
        <v>145332</v>
      </c>
      <c r="O92" s="172">
        <v>90900.471114999993</v>
      </c>
      <c r="P92" s="140">
        <f>O92/O$116</f>
        <v>0.92042066924373289</v>
      </c>
    </row>
    <row r="93" spans="1:16" x14ac:dyDescent="0.2">
      <c r="A93" s="115" t="str">
        <f>$A$13</f>
        <v>Tables de génération</v>
      </c>
      <c r="B93" s="36">
        <v>7</v>
      </c>
      <c r="C93" s="10">
        <v>24971</v>
      </c>
      <c r="D93" s="10">
        <v>14164</v>
      </c>
      <c r="E93" s="155">
        <v>8291.9310000000005</v>
      </c>
      <c r="F93" s="37">
        <f>E93/E$116</f>
        <v>7.852617715384029E-2</v>
      </c>
      <c r="G93" s="53">
        <v>6</v>
      </c>
      <c r="H93" s="54">
        <v>20930</v>
      </c>
      <c r="I93" s="54">
        <v>11723</v>
      </c>
      <c r="J93" s="165">
        <v>6441.107</v>
      </c>
      <c r="K93" s="56">
        <f>J93/J$116</f>
        <v>6.1320755929461984E-2</v>
      </c>
      <c r="L93" s="137">
        <v>7</v>
      </c>
      <c r="M93" s="138">
        <v>24741</v>
      </c>
      <c r="N93" s="138">
        <v>8133</v>
      </c>
      <c r="O93" s="172">
        <v>6654.4619999999995</v>
      </c>
      <c r="P93" s="140">
        <f>O93/O$116</f>
        <v>6.7380336893394649E-2</v>
      </c>
    </row>
    <row r="94" spans="1:16" x14ac:dyDescent="0.2">
      <c r="A94" s="115" t="str">
        <f>$A$14</f>
        <v>Pas de rentes payées directement par l'IP</v>
      </c>
      <c r="B94" s="36">
        <v>0</v>
      </c>
      <c r="C94" s="10">
        <v>0</v>
      </c>
      <c r="D94" s="10">
        <v>0</v>
      </c>
      <c r="E94" s="155">
        <v>0</v>
      </c>
      <c r="F94" s="37">
        <f>E94/E$116</f>
        <v>0</v>
      </c>
      <c r="G94" s="53">
        <v>2</v>
      </c>
      <c r="H94" s="54">
        <v>396</v>
      </c>
      <c r="I94" s="54">
        <v>103</v>
      </c>
      <c r="J94" s="165">
        <v>0.94</v>
      </c>
      <c r="K94" s="56">
        <f>J94/J$116</f>
        <v>8.949006835889275E-6</v>
      </c>
      <c r="L94" s="137">
        <v>3</v>
      </c>
      <c r="M94" s="138">
        <v>10333</v>
      </c>
      <c r="N94" s="138">
        <v>1779</v>
      </c>
      <c r="O94" s="172">
        <v>1204.769</v>
      </c>
      <c r="P94" s="140">
        <f>O94/O$116</f>
        <v>1.2198993862872489E-2</v>
      </c>
    </row>
    <row r="95" spans="1:16" hidden="1" x14ac:dyDescent="0.2">
      <c r="A95" s="115">
        <f>$A$15</f>
        <v>0</v>
      </c>
      <c r="B95" s="36"/>
      <c r="C95" s="10"/>
      <c r="D95" s="10"/>
      <c r="E95" s="155"/>
      <c r="F95" s="37"/>
      <c r="G95" s="53"/>
      <c r="H95" s="54"/>
      <c r="I95" s="54"/>
      <c r="J95" s="165"/>
      <c r="K95" s="56"/>
      <c r="L95" s="137"/>
      <c r="M95" s="138"/>
      <c r="N95" s="138"/>
      <c r="O95" s="172"/>
      <c r="P95" s="140"/>
    </row>
    <row r="96" spans="1:16" hidden="1" x14ac:dyDescent="0.2">
      <c r="A96" s="115">
        <f>$A$16</f>
        <v>0</v>
      </c>
      <c r="B96" s="36"/>
      <c r="C96" s="10"/>
      <c r="D96" s="10"/>
      <c r="E96" s="155"/>
      <c r="F96" s="37"/>
      <c r="G96" s="53"/>
      <c r="H96" s="54"/>
      <c r="I96" s="54"/>
      <c r="J96" s="165"/>
      <c r="K96" s="56"/>
      <c r="L96" s="137"/>
      <c r="M96" s="138"/>
      <c r="N96" s="138"/>
      <c r="O96" s="172"/>
      <c r="P96" s="140"/>
    </row>
    <row r="97" spans="1:16" ht="12.75" hidden="1" customHeight="1" x14ac:dyDescent="0.2">
      <c r="A97" s="115">
        <f>$A$17</f>
        <v>0</v>
      </c>
      <c r="B97" s="36"/>
      <c r="C97" s="10"/>
      <c r="D97" s="10"/>
      <c r="E97" s="155"/>
      <c r="F97" s="37"/>
      <c r="G97" s="53"/>
      <c r="H97" s="54"/>
      <c r="I97" s="54"/>
      <c r="J97" s="165"/>
      <c r="K97" s="56"/>
      <c r="L97" s="137"/>
      <c r="M97" s="138"/>
      <c r="N97" s="138"/>
      <c r="O97" s="172"/>
      <c r="P97" s="140"/>
    </row>
    <row r="98" spans="1:16" ht="12.75" hidden="1" customHeight="1" x14ac:dyDescent="0.2">
      <c r="A98" s="115">
        <f>$A$18</f>
        <v>0</v>
      </c>
      <c r="B98" s="36"/>
      <c r="C98" s="10"/>
      <c r="D98" s="10"/>
      <c r="E98" s="155"/>
      <c r="F98" s="37"/>
      <c r="G98" s="53"/>
      <c r="H98" s="54"/>
      <c r="I98" s="54"/>
      <c r="J98" s="165"/>
      <c r="K98" s="56"/>
      <c r="L98" s="137"/>
      <c r="M98" s="138"/>
      <c r="N98" s="138"/>
      <c r="O98" s="172"/>
      <c r="P98" s="140"/>
    </row>
    <row r="99" spans="1:16" ht="12.75" hidden="1" customHeight="1" x14ac:dyDescent="0.2">
      <c r="A99" s="115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:J116" si="5">SUM(F$92:F$115)</f>
        <v>1</v>
      </c>
      <c r="G116" s="57">
        <f t="shared" si="5"/>
        <v>58</v>
      </c>
      <c r="H116" s="71">
        <f t="shared" si="5"/>
        <v>358116</v>
      </c>
      <c r="I116" s="71">
        <f t="shared" si="5"/>
        <v>159705</v>
      </c>
      <c r="J116" s="166">
        <f t="shared" si="5"/>
        <v>105039.58900000001</v>
      </c>
      <c r="K116" s="72">
        <f t="shared" ref="K116:O116" si="6">SUM(K$92:K$115)</f>
        <v>0.99999999999999989</v>
      </c>
      <c r="L116" s="141">
        <f t="shared" si="6"/>
        <v>66</v>
      </c>
      <c r="M116" s="142">
        <f t="shared" si="6"/>
        <v>385349</v>
      </c>
      <c r="N116" s="142">
        <f t="shared" si="6"/>
        <v>155244</v>
      </c>
      <c r="O116" s="173">
        <f t="shared" si="6"/>
        <v>98759.702114999993</v>
      </c>
      <c r="P116" s="144">
        <f>SUM(P$92:P$115)</f>
        <v>1</v>
      </c>
    </row>
    <row r="120" spans="1:16" x14ac:dyDescent="0.2">
      <c r="A120" s="111" t="str">
        <f>Translation!$A$36</f>
        <v>somme du bilan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6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Translation!$A$186</f>
        <v>Taux de couverture calculé sur des bases individuelles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retour à la vue d'ensemble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/>
      <c r="B4" s="28" t="str">
        <f>Translation!$A$40</f>
        <v>Nombre d'IP</v>
      </c>
      <c r="C4" s="19" t="str">
        <f>Translation!$A$41</f>
        <v>Nombre d'assurés actifs</v>
      </c>
      <c r="D4" s="19" t="str">
        <f>Translation!$A$42</f>
        <v>Nombre de rentiers</v>
      </c>
      <c r="E4" s="149" t="str">
        <f>Translation!$A$43</f>
        <v>Somme du bilan</v>
      </c>
      <c r="F4" s="29" t="str">
        <f>Translation!$A$46</f>
        <v>Part de la somme du bilan</v>
      </c>
      <c r="G4" s="28" t="str">
        <f>Translation!$A$40</f>
        <v>Nombre d'IP</v>
      </c>
      <c r="H4" s="19" t="str">
        <f>Translation!$A$41</f>
        <v>Nombre d'assurés actifs</v>
      </c>
      <c r="I4" s="19" t="str">
        <f>Translation!$A$42</f>
        <v>Nombre de rentiers</v>
      </c>
      <c r="J4" s="149" t="str">
        <f>Translation!$A$43</f>
        <v>Somme du bilan</v>
      </c>
      <c r="K4" s="29" t="str">
        <f>Translation!$A$46</f>
        <v>Part de la somme du bilan</v>
      </c>
      <c r="L4" s="28" t="str">
        <f>Translation!$A$40</f>
        <v>Nombre d'IP</v>
      </c>
      <c r="M4" s="73" t="str">
        <f>Translation!$A$41</f>
        <v>Nombre d'assurés actifs</v>
      </c>
      <c r="N4" s="73" t="str">
        <f>Translation!$A$42</f>
        <v>Nombre de rentiers</v>
      </c>
      <c r="O4" s="149" t="str">
        <f>Translation!$A$43</f>
        <v>Somme du bilan</v>
      </c>
      <c r="P4" s="29" t="str">
        <f>Translation!$A$46</f>
        <v>Part de la somme du bilan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toutes les institutions de prévoyance</v>
      </c>
    </row>
    <row r="12" spans="1:16" x14ac:dyDescent="0.2">
      <c r="A12" s="115" t="str">
        <f>Translation!$A188</f>
        <v>Moins de 80,0 %</v>
      </c>
      <c r="B12" s="30">
        <v>42</v>
      </c>
      <c r="C12" s="6">
        <v>172808</v>
      </c>
      <c r="D12" s="6">
        <v>80034</v>
      </c>
      <c r="E12" s="151">
        <v>44819.095000000001</v>
      </c>
      <c r="F12" s="31">
        <f t="shared" ref="F12:F17" si="0">E12/E$36</f>
        <v>5.4518180926965948E-2</v>
      </c>
      <c r="G12" s="41">
        <v>30</v>
      </c>
      <c r="H12" s="42">
        <v>170462</v>
      </c>
      <c r="I12" s="42">
        <v>79994</v>
      </c>
      <c r="J12" s="161">
        <v>43034.805999999997</v>
      </c>
      <c r="K12" s="44">
        <f t="shared" ref="K12:K17" si="1">J12/J$36</f>
        <v>5.8936227697150755E-2</v>
      </c>
      <c r="L12" s="76">
        <v>30</v>
      </c>
      <c r="M12" s="123">
        <v>221797</v>
      </c>
      <c r="N12" s="123">
        <v>91326</v>
      </c>
      <c r="O12" s="168">
        <v>50166.876000000004</v>
      </c>
      <c r="P12" s="125">
        <f t="shared" ref="P12:P17" si="2">O12/O$36</f>
        <v>7.4553876487920903E-2</v>
      </c>
    </row>
    <row r="13" spans="1:16" x14ac:dyDescent="0.2">
      <c r="A13" s="115" t="str">
        <f>Translation!$A189</f>
        <v>De 80,0 à 89,9 %</v>
      </c>
      <c r="B13" s="30">
        <v>16</v>
      </c>
      <c r="C13" s="6">
        <v>95013</v>
      </c>
      <c r="D13" s="6">
        <v>37179</v>
      </c>
      <c r="E13" s="151">
        <v>31385.838</v>
      </c>
      <c r="F13" s="31">
        <f t="shared" si="0"/>
        <v>3.8177897046525439E-2</v>
      </c>
      <c r="G13" s="41">
        <v>29</v>
      </c>
      <c r="H13" s="42">
        <v>146504</v>
      </c>
      <c r="I13" s="42">
        <v>59463</v>
      </c>
      <c r="J13" s="161">
        <v>44299.762999999999</v>
      </c>
      <c r="K13" s="44">
        <f t="shared" si="1"/>
        <v>6.0668588098150462E-2</v>
      </c>
      <c r="L13" s="76">
        <v>20</v>
      </c>
      <c r="M13" s="123">
        <v>136290</v>
      </c>
      <c r="N13" s="123">
        <v>52349</v>
      </c>
      <c r="O13" s="168">
        <v>37757.938000000002</v>
      </c>
      <c r="P13" s="125">
        <f t="shared" si="2"/>
        <v>5.6112735544676433E-2</v>
      </c>
    </row>
    <row r="14" spans="1:16" x14ac:dyDescent="0.2">
      <c r="A14" s="115" t="str">
        <f>Translation!$A190</f>
        <v>De 90,0 à 99,9 %</v>
      </c>
      <c r="B14" s="30">
        <v>55</v>
      </c>
      <c r="C14" s="6">
        <v>200772</v>
      </c>
      <c r="D14" s="6">
        <v>93697</v>
      </c>
      <c r="E14" s="151">
        <v>66560.516000000003</v>
      </c>
      <c r="F14" s="31">
        <f t="shared" si="0"/>
        <v>8.0964558831011918E-2</v>
      </c>
      <c r="G14" s="41">
        <v>107</v>
      </c>
      <c r="H14" s="42">
        <v>316832</v>
      </c>
      <c r="I14" s="42">
        <v>111375</v>
      </c>
      <c r="J14" s="161">
        <v>79183.284</v>
      </c>
      <c r="K14" s="44">
        <f t="shared" si="1"/>
        <v>0.1084416194564036</v>
      </c>
      <c r="L14" s="76">
        <v>179</v>
      </c>
      <c r="M14" s="123">
        <v>424043</v>
      </c>
      <c r="N14" s="123">
        <v>171498</v>
      </c>
      <c r="O14" s="168">
        <v>96351.988846000007</v>
      </c>
      <c r="P14" s="125">
        <f t="shared" si="2"/>
        <v>0.14319038474291715</v>
      </c>
    </row>
    <row r="15" spans="1:16" x14ac:dyDescent="0.2">
      <c r="A15" s="115" t="str">
        <f>Translation!$A191</f>
        <v>De 100,0 à 109,9 %</v>
      </c>
      <c r="B15" s="30">
        <v>527</v>
      </c>
      <c r="C15" s="6">
        <v>1985691</v>
      </c>
      <c r="D15" s="6">
        <v>278314</v>
      </c>
      <c r="E15" s="151">
        <v>294196.158</v>
      </c>
      <c r="F15" s="31">
        <f t="shared" si="0"/>
        <v>0.35786174106956553</v>
      </c>
      <c r="G15" s="41">
        <v>734</v>
      </c>
      <c r="H15" s="42">
        <v>2203113</v>
      </c>
      <c r="I15" s="42">
        <v>429886</v>
      </c>
      <c r="J15" s="161">
        <v>302896.603</v>
      </c>
      <c r="K15" s="44">
        <f t="shared" si="1"/>
        <v>0.41481732630795354</v>
      </c>
      <c r="L15" s="76">
        <v>899</v>
      </c>
      <c r="M15" s="123">
        <v>2387339</v>
      </c>
      <c r="N15" s="123">
        <v>430937.99999999994</v>
      </c>
      <c r="O15" s="168">
        <v>339718.93853699998</v>
      </c>
      <c r="P15" s="125">
        <f t="shared" si="2"/>
        <v>0.50486228770344577</v>
      </c>
    </row>
    <row r="16" spans="1:16" x14ac:dyDescent="0.2">
      <c r="A16" s="115" t="str">
        <f>Translation!$A192</f>
        <v>De 110,0 à 119,9 %</v>
      </c>
      <c r="B16" s="30">
        <v>640</v>
      </c>
      <c r="C16" s="6">
        <v>1215530</v>
      </c>
      <c r="D16" s="6">
        <v>274420</v>
      </c>
      <c r="E16" s="151">
        <v>276342.25099999999</v>
      </c>
      <c r="F16" s="31">
        <f t="shared" si="0"/>
        <v>0.33614415547174781</v>
      </c>
      <c r="G16" s="41">
        <v>580</v>
      </c>
      <c r="H16" s="42">
        <v>956078</v>
      </c>
      <c r="I16" s="42">
        <v>209158</v>
      </c>
      <c r="J16" s="161">
        <v>206853.77600000001</v>
      </c>
      <c r="K16" s="44">
        <f t="shared" si="1"/>
        <v>0.28328653886232041</v>
      </c>
      <c r="L16" s="76">
        <v>407</v>
      </c>
      <c r="M16" s="123">
        <v>443535</v>
      </c>
      <c r="N16" s="123">
        <v>125033</v>
      </c>
      <c r="O16" s="168">
        <v>111199.90177699996</v>
      </c>
      <c r="P16" s="125">
        <f t="shared" si="2"/>
        <v>0.16525612921465133</v>
      </c>
    </row>
    <row r="17" spans="1:16" ht="12.75" customHeight="1" x14ac:dyDescent="0.2">
      <c r="A17" s="111" t="str">
        <f>Translation!$A193</f>
        <v>120,0 % et plus</v>
      </c>
      <c r="B17" s="30">
        <v>565</v>
      </c>
      <c r="C17" s="6">
        <v>334223</v>
      </c>
      <c r="D17" s="6">
        <v>105174</v>
      </c>
      <c r="E17" s="151">
        <v>108790.611</v>
      </c>
      <c r="F17" s="31">
        <f t="shared" si="0"/>
        <v>0.13233346665418327</v>
      </c>
      <c r="G17" s="41">
        <v>425</v>
      </c>
      <c r="H17" s="42">
        <v>139759</v>
      </c>
      <c r="I17" s="42">
        <v>53456</v>
      </c>
      <c r="J17" s="161">
        <v>53924.514999999999</v>
      </c>
      <c r="K17" s="44">
        <f t="shared" si="1"/>
        <v>7.3849699578021136E-2</v>
      </c>
      <c r="L17" s="76">
        <v>327</v>
      </c>
      <c r="M17" s="123">
        <v>87494</v>
      </c>
      <c r="N17" s="123">
        <v>39801</v>
      </c>
      <c r="O17" s="168">
        <v>37698.622882999967</v>
      </c>
      <c r="P17" s="125">
        <f t="shared" si="2"/>
        <v>5.6024586306388457E-2</v>
      </c>
    </row>
    <row r="18" spans="1:16" ht="12.75" hidden="1" customHeight="1" x14ac:dyDescent="0.2">
      <c r="B18" s="30"/>
      <c r="C18" s="6"/>
      <c r="D18" s="6"/>
      <c r="E18" s="151"/>
      <c r="F18" s="31"/>
      <c r="G18" s="41"/>
      <c r="H18" s="42"/>
      <c r="I18" s="42"/>
      <c r="J18" s="161"/>
      <c r="K18" s="44"/>
      <c r="L18" s="76"/>
      <c r="M18" s="123"/>
      <c r="N18" s="123"/>
      <c r="O18" s="168"/>
      <c r="P18" s="125"/>
    </row>
    <row r="19" spans="1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1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1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1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1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1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1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1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1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1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1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1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1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1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3">SUM(C$12:C$35)</f>
        <v>4004037</v>
      </c>
      <c r="D36" s="7">
        <f t="shared" si="3"/>
        <v>868818</v>
      </c>
      <c r="E36" s="152">
        <f t="shared" si="3"/>
        <v>822094.46900000004</v>
      </c>
      <c r="F36" s="64">
        <f>SUM(F$12:F$35)</f>
        <v>1</v>
      </c>
      <c r="G36" s="45">
        <f t="shared" ref="G36:J36" si="4">SUM(G$12:G$35)</f>
        <v>1905</v>
      </c>
      <c r="H36" s="65">
        <f t="shared" si="4"/>
        <v>3932748</v>
      </c>
      <c r="I36" s="65">
        <f t="shared" si="4"/>
        <v>943332</v>
      </c>
      <c r="J36" s="162">
        <f t="shared" si="4"/>
        <v>730192.74700000009</v>
      </c>
      <c r="K36" s="66">
        <f t="shared" ref="K36:O36" si="5">SUM(K$12:K$35)</f>
        <v>1</v>
      </c>
      <c r="L36" s="77">
        <f t="shared" si="5"/>
        <v>1862</v>
      </c>
      <c r="M36" s="126">
        <f t="shared" si="5"/>
        <v>3700498</v>
      </c>
      <c r="N36" s="126">
        <f t="shared" si="5"/>
        <v>910945</v>
      </c>
      <c r="O36" s="169">
        <f t="shared" si="5"/>
        <v>672894.26604299992</v>
      </c>
      <c r="P36" s="128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institutions de prévoyance sans garantie étatique</v>
      </c>
    </row>
    <row r="52" spans="1:16" x14ac:dyDescent="0.2">
      <c r="A52" s="115" t="str">
        <f>$A$12</f>
        <v>Moins de 80,0 %</v>
      </c>
      <c r="B52" s="33">
        <v>28</v>
      </c>
      <c r="C52" s="8">
        <v>11882</v>
      </c>
      <c r="D52" s="8">
        <v>5523</v>
      </c>
      <c r="E52" s="153">
        <v>3800.2139999999999</v>
      </c>
      <c r="F52" s="34">
        <f t="shared" ref="F52:F57" si="6">E52/E$76</f>
        <v>5.303857737543825E-3</v>
      </c>
      <c r="G52" s="47">
        <v>14</v>
      </c>
      <c r="H52" s="48">
        <v>2106</v>
      </c>
      <c r="I52" s="48">
        <v>1288</v>
      </c>
      <c r="J52" s="163">
        <v>427.71199999999999</v>
      </c>
      <c r="K52" s="50">
        <f t="shared" ref="K52:K57" si="7">J52/J$76</f>
        <v>6.8417154184798989E-4</v>
      </c>
      <c r="L52" s="129">
        <v>14</v>
      </c>
      <c r="M52" s="130">
        <v>10221</v>
      </c>
      <c r="N52" s="130">
        <v>2355</v>
      </c>
      <c r="O52" s="170">
        <v>1439.6620000000003</v>
      </c>
      <c r="P52" s="132">
        <f t="shared" ref="P52:P57" si="8">O52/O$76</f>
        <v>2.5075341051589133E-3</v>
      </c>
    </row>
    <row r="53" spans="1:16" x14ac:dyDescent="0.2">
      <c r="A53" s="115" t="str">
        <f>$A$13</f>
        <v>De 80,0 à 89,9 %</v>
      </c>
      <c r="B53" s="33">
        <v>12</v>
      </c>
      <c r="C53" s="8">
        <v>32514</v>
      </c>
      <c r="D53" s="8">
        <v>11165</v>
      </c>
      <c r="E53" s="153">
        <v>9927.7270000000008</v>
      </c>
      <c r="F53" s="34">
        <f t="shared" si="6"/>
        <v>1.3855864871076406E-2</v>
      </c>
      <c r="G53" s="47">
        <v>18</v>
      </c>
      <c r="H53" s="48">
        <v>40696</v>
      </c>
      <c r="I53" s="48">
        <v>15515</v>
      </c>
      <c r="J53" s="163">
        <v>12004.087</v>
      </c>
      <c r="K53" s="50">
        <f t="shared" si="7"/>
        <v>1.9201833736877644E-2</v>
      </c>
      <c r="L53" s="129">
        <v>14</v>
      </c>
      <c r="M53" s="130">
        <v>84846</v>
      </c>
      <c r="N53" s="130">
        <v>33050</v>
      </c>
      <c r="O53" s="170">
        <v>24066.502</v>
      </c>
      <c r="P53" s="132">
        <f t="shared" si="8"/>
        <v>4.1917876943946004E-2</v>
      </c>
    </row>
    <row r="54" spans="1:16" x14ac:dyDescent="0.2">
      <c r="A54" s="115" t="str">
        <f>$A$14</f>
        <v>De 90,0 à 99,9 %</v>
      </c>
      <c r="B54" s="33">
        <v>45</v>
      </c>
      <c r="C54" s="8">
        <v>182314</v>
      </c>
      <c r="D54" s="8">
        <v>82419</v>
      </c>
      <c r="E54" s="153">
        <v>59003.358999999997</v>
      </c>
      <c r="F54" s="34">
        <f t="shared" si="6"/>
        <v>8.2349420893988098E-2</v>
      </c>
      <c r="G54" s="47">
        <v>92</v>
      </c>
      <c r="H54" s="48">
        <v>281935</v>
      </c>
      <c r="I54" s="48">
        <v>99603</v>
      </c>
      <c r="J54" s="163">
        <v>68338.686000000002</v>
      </c>
      <c r="K54" s="50">
        <f t="shared" si="7"/>
        <v>0.10931510962630378</v>
      </c>
      <c r="L54" s="129">
        <v>153</v>
      </c>
      <c r="M54" s="130">
        <v>327488</v>
      </c>
      <c r="N54" s="130">
        <v>130455.99999999999</v>
      </c>
      <c r="O54" s="170">
        <v>65077.16184600001</v>
      </c>
      <c r="P54" s="132">
        <f t="shared" si="8"/>
        <v>0.11334827396693904</v>
      </c>
    </row>
    <row r="55" spans="1:16" x14ac:dyDescent="0.2">
      <c r="A55" s="115" t="str">
        <f>$A$15</f>
        <v>De 100,0 à 109,9 %</v>
      </c>
      <c r="B55" s="33">
        <v>514</v>
      </c>
      <c r="C55" s="8">
        <v>1915674</v>
      </c>
      <c r="D55" s="8">
        <v>246860</v>
      </c>
      <c r="E55" s="153">
        <v>267342.761</v>
      </c>
      <c r="F55" s="34">
        <f t="shared" si="6"/>
        <v>0.37312319030090924</v>
      </c>
      <c r="G55" s="47">
        <v>719</v>
      </c>
      <c r="H55" s="48">
        <v>2154491</v>
      </c>
      <c r="I55" s="48">
        <v>404807</v>
      </c>
      <c r="J55" s="163">
        <v>283742.092</v>
      </c>
      <c r="K55" s="50">
        <f t="shared" si="7"/>
        <v>0.45387612358506241</v>
      </c>
      <c r="L55" s="129">
        <v>885</v>
      </c>
      <c r="M55" s="130">
        <v>2363174</v>
      </c>
      <c r="N55" s="130">
        <v>425507.99999999994</v>
      </c>
      <c r="O55" s="170">
        <v>335092.479422</v>
      </c>
      <c r="P55" s="132">
        <f t="shared" si="8"/>
        <v>0.58364798163244302</v>
      </c>
    </row>
    <row r="56" spans="1:16" x14ac:dyDescent="0.2">
      <c r="A56" s="115" t="str">
        <f>$A$16</f>
        <v>De 110,0 à 119,9 %</v>
      </c>
      <c r="B56" s="33">
        <v>638</v>
      </c>
      <c r="C56" s="8">
        <v>1188050</v>
      </c>
      <c r="D56" s="8">
        <v>263765</v>
      </c>
      <c r="E56" s="153">
        <v>267635.315</v>
      </c>
      <c r="F56" s="34">
        <f t="shared" si="6"/>
        <v>0.37353150014781511</v>
      </c>
      <c r="G56" s="47">
        <v>579</v>
      </c>
      <c r="H56" s="48">
        <v>955645</v>
      </c>
      <c r="I56" s="48">
        <v>208958</v>
      </c>
      <c r="J56" s="163">
        <v>206716.06599999999</v>
      </c>
      <c r="K56" s="50">
        <f t="shared" si="7"/>
        <v>0.33066467529545779</v>
      </c>
      <c r="L56" s="129">
        <v>403</v>
      </c>
      <c r="M56" s="130">
        <v>441926</v>
      </c>
      <c r="N56" s="130">
        <v>124531</v>
      </c>
      <c r="O56" s="170">
        <v>110760.13577699996</v>
      </c>
      <c r="P56" s="132">
        <f t="shared" si="8"/>
        <v>0.19291668318873409</v>
      </c>
    </row>
    <row r="57" spans="1:16" ht="12.75" customHeight="1" x14ac:dyDescent="0.2">
      <c r="A57" s="115" t="str">
        <f>$A$17</f>
        <v>120,0 % et plus</v>
      </c>
      <c r="B57" s="33">
        <v>565</v>
      </c>
      <c r="C57" s="8">
        <v>334223</v>
      </c>
      <c r="D57" s="8">
        <v>105174</v>
      </c>
      <c r="E57" s="153">
        <v>108790.611</v>
      </c>
      <c r="F57" s="34">
        <f t="shared" si="6"/>
        <v>0.15183616604866737</v>
      </c>
      <c r="G57" s="47">
        <v>425</v>
      </c>
      <c r="H57" s="48">
        <v>139759</v>
      </c>
      <c r="I57" s="48">
        <v>53456</v>
      </c>
      <c r="J57" s="163">
        <v>53924.514999999999</v>
      </c>
      <c r="K57" s="50">
        <f t="shared" si="7"/>
        <v>8.6258086214450511E-2</v>
      </c>
      <c r="L57" s="129">
        <v>327</v>
      </c>
      <c r="M57" s="130">
        <v>87494</v>
      </c>
      <c r="N57" s="130">
        <v>39801</v>
      </c>
      <c r="O57" s="170">
        <v>37698.622882999967</v>
      </c>
      <c r="P57" s="132">
        <f t="shared" si="8"/>
        <v>6.5661650162778931E-2</v>
      </c>
    </row>
    <row r="58" spans="1:16" ht="12.75" hidden="1" customHeight="1" x14ac:dyDescent="0.2">
      <c r="A58" s="115">
        <f>$A$18</f>
        <v>0</v>
      </c>
      <c r="B58" s="33"/>
      <c r="C58" s="8"/>
      <c r="D58" s="8"/>
      <c r="E58" s="153"/>
      <c r="F58" s="34"/>
      <c r="G58" s="47"/>
      <c r="H58" s="48"/>
      <c r="I58" s="48"/>
      <c r="J58" s="163"/>
      <c r="K58" s="50"/>
      <c r="L58" s="129"/>
      <c r="M58" s="130"/>
      <c r="N58" s="130"/>
      <c r="O58" s="170"/>
      <c r="P58" s="132"/>
    </row>
    <row r="59" spans="1:16" ht="12.75" hidden="1" customHeight="1" x14ac:dyDescent="0.2">
      <c r="A59" s="115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5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5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5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5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5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5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716499.98699999996</v>
      </c>
      <c r="F76" s="67">
        <f t="shared" ref="F76:J76" si="9">SUM(F$52:F$75)</f>
        <v>1</v>
      </c>
      <c r="G76" s="51">
        <f t="shared" si="9"/>
        <v>1847</v>
      </c>
      <c r="H76" s="68">
        <f t="shared" si="9"/>
        <v>3574632</v>
      </c>
      <c r="I76" s="68">
        <f t="shared" si="9"/>
        <v>783627</v>
      </c>
      <c r="J76" s="164">
        <f t="shared" si="9"/>
        <v>625153.15799999994</v>
      </c>
      <c r="K76" s="69">
        <f t="shared" ref="K76:O76" si="10">SUM(K$52:K$75)</f>
        <v>1</v>
      </c>
      <c r="L76" s="133">
        <f t="shared" si="10"/>
        <v>1796</v>
      </c>
      <c r="M76" s="134">
        <f t="shared" si="10"/>
        <v>3315149</v>
      </c>
      <c r="N76" s="134">
        <f t="shared" si="10"/>
        <v>755701</v>
      </c>
      <c r="O76" s="171">
        <f t="shared" si="10"/>
        <v>574134.56392799993</v>
      </c>
      <c r="P76" s="136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institutions de prévoyance avec garantie étatique</v>
      </c>
    </row>
    <row r="92" spans="1:16" x14ac:dyDescent="0.2">
      <c r="A92" s="115" t="str">
        <f>$A$12</f>
        <v>Moins de 80,0 %</v>
      </c>
      <c r="B92" s="36">
        <v>14</v>
      </c>
      <c r="C92" s="10">
        <v>160926</v>
      </c>
      <c r="D92" s="10">
        <v>74511</v>
      </c>
      <c r="E92" s="155">
        <v>41018.881000000001</v>
      </c>
      <c r="F92" s="37">
        <f t="shared" ref="F92:F97" si="11">E92/E$116</f>
        <v>0.38845667143857004</v>
      </c>
      <c r="G92" s="53">
        <v>16</v>
      </c>
      <c r="H92" s="54">
        <v>168356</v>
      </c>
      <c r="I92" s="54">
        <v>78706</v>
      </c>
      <c r="J92" s="165">
        <v>42607.093999999997</v>
      </c>
      <c r="K92" s="56">
        <f t="shared" ref="K92:K97" si="12">J92/J$116</f>
        <v>0.4056289100674223</v>
      </c>
      <c r="L92" s="137">
        <v>16</v>
      </c>
      <c r="M92" s="138">
        <v>211576</v>
      </c>
      <c r="N92" s="138">
        <v>88971</v>
      </c>
      <c r="O92" s="172">
        <v>48727.214</v>
      </c>
      <c r="P92" s="140">
        <f t="shared" ref="P92:P97" si="13">O92/O$116</f>
        <v>0.49339166640316467</v>
      </c>
    </row>
    <row r="93" spans="1:16" x14ac:dyDescent="0.2">
      <c r="A93" s="115" t="str">
        <f>$A$13</f>
        <v>De 80,0 à 89,9 %</v>
      </c>
      <c r="B93" s="36">
        <v>4</v>
      </c>
      <c r="C93" s="10">
        <v>62499</v>
      </c>
      <c r="D93" s="10">
        <v>26014</v>
      </c>
      <c r="E93" s="155">
        <v>21458.111000000001</v>
      </c>
      <c r="F93" s="37">
        <f t="shared" si="11"/>
        <v>0.20321242733119332</v>
      </c>
      <c r="G93" s="53">
        <v>11</v>
      </c>
      <c r="H93" s="54">
        <v>105808</v>
      </c>
      <c r="I93" s="54">
        <v>43948</v>
      </c>
      <c r="J93" s="165">
        <v>32295.675999999999</v>
      </c>
      <c r="K93" s="56">
        <f t="shared" si="12"/>
        <v>0.30746194180177155</v>
      </c>
      <c r="L93" s="137">
        <v>6</v>
      </c>
      <c r="M93" s="138">
        <v>51444</v>
      </c>
      <c r="N93" s="138">
        <v>19299.000000000004</v>
      </c>
      <c r="O93" s="172">
        <v>13691.436</v>
      </c>
      <c r="P93" s="140">
        <f t="shared" si="13"/>
        <v>0.13863383249229638</v>
      </c>
    </row>
    <row r="94" spans="1:16" x14ac:dyDescent="0.2">
      <c r="A94" s="115" t="str">
        <f>$A$14</f>
        <v>De 90,0 à 99,9 %</v>
      </c>
      <c r="B94" s="36">
        <v>10</v>
      </c>
      <c r="C94" s="10">
        <v>18458</v>
      </c>
      <c r="D94" s="10">
        <v>11278</v>
      </c>
      <c r="E94" s="155">
        <v>7557.1570000000002</v>
      </c>
      <c r="F94" s="37">
        <f t="shared" si="11"/>
        <v>7.1567726427219938E-2</v>
      </c>
      <c r="G94" s="53">
        <v>15</v>
      </c>
      <c r="H94" s="54">
        <v>34897</v>
      </c>
      <c r="I94" s="54">
        <v>11772</v>
      </c>
      <c r="J94" s="165">
        <v>10844.598</v>
      </c>
      <c r="K94" s="56">
        <f t="shared" si="12"/>
        <v>0.10324295918560764</v>
      </c>
      <c r="L94" s="137">
        <v>26</v>
      </c>
      <c r="M94" s="138">
        <v>96555</v>
      </c>
      <c r="N94" s="138">
        <v>41042</v>
      </c>
      <c r="O94" s="172">
        <v>31274.826999999994</v>
      </c>
      <c r="P94" s="140">
        <f t="shared" si="13"/>
        <v>0.31667599567668048</v>
      </c>
    </row>
    <row r="95" spans="1:16" x14ac:dyDescent="0.2">
      <c r="A95" s="115" t="str">
        <f>$A$15</f>
        <v>De 100,0 à 109,9 %</v>
      </c>
      <c r="B95" s="36">
        <v>13</v>
      </c>
      <c r="C95" s="10">
        <v>70017</v>
      </c>
      <c r="D95" s="10">
        <v>31454</v>
      </c>
      <c r="E95" s="155">
        <v>26853.397000000001</v>
      </c>
      <c r="F95" s="37">
        <f t="shared" si="11"/>
        <v>0.25430682069163424</v>
      </c>
      <c r="G95" s="53">
        <v>15</v>
      </c>
      <c r="H95" s="54">
        <v>48622</v>
      </c>
      <c r="I95" s="54">
        <v>25079</v>
      </c>
      <c r="J95" s="165">
        <v>19154.510999999999</v>
      </c>
      <c r="K95" s="56">
        <f t="shared" si="12"/>
        <v>0.18235515944374078</v>
      </c>
      <c r="L95" s="137">
        <v>14</v>
      </c>
      <c r="M95" s="138">
        <v>24165</v>
      </c>
      <c r="N95" s="138">
        <v>5430</v>
      </c>
      <c r="O95" s="172">
        <v>4626.4591149999997</v>
      </c>
      <c r="P95" s="140">
        <f t="shared" si="13"/>
        <v>4.6845616338663652E-2</v>
      </c>
    </row>
    <row r="96" spans="1:16" x14ac:dyDescent="0.2">
      <c r="A96" s="115" t="str">
        <f>$A$16</f>
        <v>De 110,0 à 119,9 %</v>
      </c>
      <c r="B96" s="36">
        <v>2</v>
      </c>
      <c r="C96" s="10">
        <v>27480</v>
      </c>
      <c r="D96" s="10">
        <v>10655</v>
      </c>
      <c r="E96" s="155">
        <v>8706.9359999999997</v>
      </c>
      <c r="F96" s="37">
        <f t="shared" si="11"/>
        <v>8.2456354111382441E-2</v>
      </c>
      <c r="G96" s="53">
        <v>1</v>
      </c>
      <c r="H96" s="54">
        <v>433</v>
      </c>
      <c r="I96" s="54">
        <v>200</v>
      </c>
      <c r="J96" s="165">
        <v>137.71</v>
      </c>
      <c r="K96" s="56">
        <f t="shared" si="12"/>
        <v>1.3110295014577792E-3</v>
      </c>
      <c r="L96" s="137">
        <v>4</v>
      </c>
      <c r="M96" s="138">
        <v>1609</v>
      </c>
      <c r="N96" s="138">
        <v>502</v>
      </c>
      <c r="O96" s="172">
        <v>439.76600000000002</v>
      </c>
      <c r="P96" s="140">
        <f t="shared" si="13"/>
        <v>4.4528890891946775E-3</v>
      </c>
    </row>
    <row r="97" spans="1:16" ht="12.75" customHeight="1" x14ac:dyDescent="0.2">
      <c r="A97" s="115" t="str">
        <f>$A$17</f>
        <v>120,0 % et plus</v>
      </c>
      <c r="B97" s="36">
        <v>0</v>
      </c>
      <c r="C97" s="10">
        <v>0</v>
      </c>
      <c r="D97" s="10">
        <v>0</v>
      </c>
      <c r="E97" s="155">
        <v>0</v>
      </c>
      <c r="F97" s="37">
        <f t="shared" si="11"/>
        <v>0</v>
      </c>
      <c r="G97" s="53">
        <v>0</v>
      </c>
      <c r="H97" s="54">
        <v>0</v>
      </c>
      <c r="I97" s="54">
        <v>0</v>
      </c>
      <c r="J97" s="165">
        <v>0</v>
      </c>
      <c r="K97" s="56">
        <f t="shared" si="12"/>
        <v>0</v>
      </c>
      <c r="L97" s="137">
        <v>0</v>
      </c>
      <c r="M97" s="138">
        <v>0</v>
      </c>
      <c r="N97" s="138">
        <v>0</v>
      </c>
      <c r="O97" s="172">
        <v>0</v>
      </c>
      <c r="P97" s="140">
        <f t="shared" si="13"/>
        <v>0</v>
      </c>
    </row>
    <row r="98" spans="1:16" ht="12.75" hidden="1" customHeight="1" x14ac:dyDescent="0.2">
      <c r="A98" s="115">
        <f>$A$18</f>
        <v>0</v>
      </c>
      <c r="B98" s="36"/>
      <c r="C98" s="10"/>
      <c r="D98" s="10"/>
      <c r="E98" s="155"/>
      <c r="F98" s="37"/>
      <c r="G98" s="53"/>
      <c r="H98" s="54"/>
      <c r="I98" s="54"/>
      <c r="J98" s="165"/>
      <c r="K98" s="56"/>
      <c r="L98" s="137"/>
      <c r="M98" s="138"/>
      <c r="N98" s="138"/>
      <c r="O98" s="172"/>
      <c r="P98" s="140"/>
    </row>
    <row r="99" spans="1:16" ht="12.75" hidden="1" customHeight="1" x14ac:dyDescent="0.2">
      <c r="A99" s="115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:J116" si="14">SUM(F$92:F$115)</f>
        <v>1</v>
      </c>
      <c r="G116" s="57">
        <f t="shared" si="14"/>
        <v>58</v>
      </c>
      <c r="H116" s="71">
        <f t="shared" si="14"/>
        <v>358116</v>
      </c>
      <c r="I116" s="71">
        <f t="shared" si="14"/>
        <v>159705</v>
      </c>
      <c r="J116" s="166">
        <f t="shared" si="14"/>
        <v>105039.58899999999</v>
      </c>
      <c r="K116" s="72">
        <f t="shared" ref="K116:O116" si="15">SUM(K$92:K$115)</f>
        <v>1</v>
      </c>
      <c r="L116" s="141">
        <f t="shared" si="15"/>
        <v>66</v>
      </c>
      <c r="M116" s="142">
        <f t="shared" si="15"/>
        <v>385349</v>
      </c>
      <c r="N116" s="142">
        <f t="shared" si="15"/>
        <v>155244</v>
      </c>
      <c r="O116" s="173">
        <f t="shared" si="15"/>
        <v>98759.702115000007</v>
      </c>
      <c r="P116" s="144">
        <f>SUM(P$92:P$115)</f>
        <v>0.99999999999999989</v>
      </c>
    </row>
    <row r="120" spans="1:16" x14ac:dyDescent="0.2">
      <c r="A120" s="111" t="str">
        <f>Translation!$A$36</f>
        <v>somme du bilan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7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Translation!$A$187</f>
        <v>Taux de couverture calculé sur des bases uniformes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retour à la vue d'ensemble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/>
      <c r="B4" s="28" t="str">
        <f>Translation!$A$40</f>
        <v>Nombre d'IP</v>
      </c>
      <c r="C4" s="19" t="str">
        <f>Translation!$A$41</f>
        <v>Nombre d'assurés actifs</v>
      </c>
      <c r="D4" s="19" t="str">
        <f>Translation!$A$42</f>
        <v>Nombre de rentiers</v>
      </c>
      <c r="E4" s="149" t="str">
        <f>Translation!$A$43</f>
        <v>Somme du bilan</v>
      </c>
      <c r="F4" s="29" t="str">
        <f>Translation!$A$46</f>
        <v>Part de la somme du bilan</v>
      </c>
      <c r="G4" s="28" t="str">
        <f>Translation!$A$40</f>
        <v>Nombre d'IP</v>
      </c>
      <c r="H4" s="19" t="str">
        <f>Translation!$A$41</f>
        <v>Nombre d'assurés actifs</v>
      </c>
      <c r="I4" s="19" t="str">
        <f>Translation!$A$42</f>
        <v>Nombre de rentiers</v>
      </c>
      <c r="J4" s="149" t="str">
        <f>Translation!$A$43</f>
        <v>Somme du bilan</v>
      </c>
      <c r="K4" s="29" t="str">
        <f>Translation!$A$46</f>
        <v>Part de la somme du bilan</v>
      </c>
      <c r="L4" s="28" t="str">
        <f>Translation!$A$40</f>
        <v>Nombre d'IP</v>
      </c>
      <c r="M4" s="73" t="str">
        <f>Translation!$A$41</f>
        <v>Nombre d'assurés actifs</v>
      </c>
      <c r="N4" s="73" t="str">
        <f>Translation!$A$42</f>
        <v>Nombre de rentiers</v>
      </c>
      <c r="O4" s="149" t="str">
        <f>Translation!$A$43</f>
        <v>Somme du bilan</v>
      </c>
      <c r="P4" s="29" t="str">
        <f>Translation!$A$46</f>
        <v>Part de la somme du bilan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toutes les institutions de prévoyance</v>
      </c>
    </row>
    <row r="12" spans="1:16" x14ac:dyDescent="0.2">
      <c r="A12" s="115" t="str">
        <f>Translation!$A188</f>
        <v>Moins de 80,0 %</v>
      </c>
      <c r="B12" s="30">
        <v>42</v>
      </c>
      <c r="C12" s="6">
        <v>184635</v>
      </c>
      <c r="D12" s="6">
        <v>85198</v>
      </c>
      <c r="E12" s="151">
        <v>48631.381999999998</v>
      </c>
      <c r="F12" s="31">
        <f t="shared" ref="F12:F17" si="0">E12/E$36</f>
        <v>5.9155466718022638E-2</v>
      </c>
      <c r="G12" s="41">
        <v>32</v>
      </c>
      <c r="H12" s="42">
        <v>232146</v>
      </c>
      <c r="I12" s="42">
        <v>104836</v>
      </c>
      <c r="J12" s="161">
        <v>61978.752999999997</v>
      </c>
      <c r="K12" s="44">
        <f t="shared" ref="K12:K17" si="1">J12/J$36</f>
        <v>8.4879989913129061E-2</v>
      </c>
      <c r="L12" s="76">
        <v>46</v>
      </c>
      <c r="M12" s="123">
        <v>271457</v>
      </c>
      <c r="N12" s="123">
        <v>109634.00000000001</v>
      </c>
      <c r="O12" s="168">
        <v>63656.084000000003</v>
      </c>
      <c r="P12" s="125">
        <f t="shared" ref="P12:P17" si="2">O12/O$36</f>
        <v>9.4600425672125107E-2</v>
      </c>
    </row>
    <row r="13" spans="1:16" x14ac:dyDescent="0.2">
      <c r="A13" s="115" t="str">
        <f>Translation!$A189</f>
        <v>De 80,0 à 89,9 %</v>
      </c>
      <c r="B13" s="30">
        <v>29</v>
      </c>
      <c r="C13" s="6">
        <v>80513</v>
      </c>
      <c r="D13" s="6">
        <v>33591</v>
      </c>
      <c r="E13" s="151">
        <v>26896.45</v>
      </c>
      <c r="F13" s="31">
        <f t="shared" si="0"/>
        <v>3.2716982067422226E-2</v>
      </c>
      <c r="G13" s="41">
        <v>46</v>
      </c>
      <c r="H13" s="42">
        <v>133125</v>
      </c>
      <c r="I13" s="42">
        <v>58149</v>
      </c>
      <c r="J13" s="161">
        <v>39228.133000000002</v>
      </c>
      <c r="K13" s="44">
        <f t="shared" si="1"/>
        <v>5.3722983638455672E-2</v>
      </c>
      <c r="L13" s="76">
        <v>59</v>
      </c>
      <c r="M13" s="123">
        <v>194206</v>
      </c>
      <c r="N13" s="123">
        <v>80588</v>
      </c>
      <c r="O13" s="168">
        <v>57281.742411999992</v>
      </c>
      <c r="P13" s="125">
        <f t="shared" si="2"/>
        <v>8.5127404560673595E-2</v>
      </c>
    </row>
    <row r="14" spans="1:16" x14ac:dyDescent="0.2">
      <c r="A14" s="115" t="str">
        <f>Translation!$A190</f>
        <v>De 90,0 à 99,9 %</v>
      </c>
      <c r="B14" s="30">
        <v>113</v>
      </c>
      <c r="C14" s="6">
        <v>353977</v>
      </c>
      <c r="D14" s="6">
        <v>128214</v>
      </c>
      <c r="E14" s="151">
        <v>100720.70699999999</v>
      </c>
      <c r="F14" s="31">
        <f t="shared" si="0"/>
        <v>0.12251719333730245</v>
      </c>
      <c r="G14" s="41">
        <v>218</v>
      </c>
      <c r="H14" s="42">
        <v>506604</v>
      </c>
      <c r="I14" s="42">
        <v>211832</v>
      </c>
      <c r="J14" s="161">
        <v>159253.046</v>
      </c>
      <c r="K14" s="44">
        <f t="shared" si="1"/>
        <v>0.21809727178788316</v>
      </c>
      <c r="L14" s="76">
        <v>320</v>
      </c>
      <c r="M14" s="123">
        <v>558589</v>
      </c>
      <c r="N14" s="123">
        <v>243761</v>
      </c>
      <c r="O14" s="168">
        <v>156786.13869000005</v>
      </c>
      <c r="P14" s="125">
        <f t="shared" si="2"/>
        <v>0.23300263741581792</v>
      </c>
    </row>
    <row r="15" spans="1:16" x14ac:dyDescent="0.2">
      <c r="A15" s="115" t="str">
        <f>Translation!$A191</f>
        <v>De 100,0 à 109,9 %</v>
      </c>
      <c r="B15" s="30">
        <v>577</v>
      </c>
      <c r="C15" s="6">
        <v>2045116</v>
      </c>
      <c r="D15" s="6">
        <v>298926</v>
      </c>
      <c r="E15" s="151">
        <v>323011.67700000003</v>
      </c>
      <c r="F15" s="31">
        <f t="shared" si="0"/>
        <v>0.3929130886781334</v>
      </c>
      <c r="G15" s="41">
        <v>697</v>
      </c>
      <c r="H15" s="42">
        <v>2164262</v>
      </c>
      <c r="I15" s="42">
        <v>346159</v>
      </c>
      <c r="J15" s="161">
        <v>258636.13200000001</v>
      </c>
      <c r="K15" s="44">
        <f t="shared" si="1"/>
        <v>0.35420254865938844</v>
      </c>
      <c r="L15" s="76">
        <v>795</v>
      </c>
      <c r="M15" s="123">
        <v>2211206</v>
      </c>
      <c r="N15" s="123">
        <v>342876</v>
      </c>
      <c r="O15" s="168">
        <v>275242.34946399997</v>
      </c>
      <c r="P15" s="125">
        <f t="shared" si="2"/>
        <v>0.40904249501571932</v>
      </c>
    </row>
    <row r="16" spans="1:16" x14ac:dyDescent="0.2">
      <c r="A16" s="115" t="str">
        <f>Translation!$A192</f>
        <v>De 110,0 à 119,9 %</v>
      </c>
      <c r="B16" s="30">
        <v>549</v>
      </c>
      <c r="C16" s="6">
        <v>1010026</v>
      </c>
      <c r="D16" s="6">
        <v>190049</v>
      </c>
      <c r="E16" s="151">
        <v>196436.31099999999</v>
      </c>
      <c r="F16" s="31">
        <f t="shared" si="0"/>
        <v>0.23894615327961777</v>
      </c>
      <c r="G16" s="41">
        <v>510</v>
      </c>
      <c r="H16" s="42">
        <v>719602</v>
      </c>
      <c r="I16" s="42">
        <v>142845</v>
      </c>
      <c r="J16" s="161">
        <v>140570.38500000001</v>
      </c>
      <c r="K16" s="44">
        <f t="shared" si="1"/>
        <v>0.19251134111853896</v>
      </c>
      <c r="L16" s="76">
        <v>336</v>
      </c>
      <c r="M16" s="123">
        <v>386418</v>
      </c>
      <c r="N16" s="123">
        <v>97781</v>
      </c>
      <c r="O16" s="168">
        <v>85502.697350999995</v>
      </c>
      <c r="P16" s="125">
        <f t="shared" si="2"/>
        <v>0.12706706189340022</v>
      </c>
    </row>
    <row r="17" spans="1:16" ht="12.75" customHeight="1" x14ac:dyDescent="0.2">
      <c r="A17" s="111" t="str">
        <f>Translation!$A193</f>
        <v>120,0 % et plus</v>
      </c>
      <c r="B17" s="30">
        <v>535</v>
      </c>
      <c r="C17" s="6">
        <v>329770</v>
      </c>
      <c r="D17" s="6">
        <v>132840</v>
      </c>
      <c r="E17" s="151">
        <v>126397.942</v>
      </c>
      <c r="F17" s="31">
        <f t="shared" si="0"/>
        <v>0.15375111591950144</v>
      </c>
      <c r="G17" s="41">
        <v>402</v>
      </c>
      <c r="H17" s="42">
        <v>177009</v>
      </c>
      <c r="I17" s="42">
        <v>79511</v>
      </c>
      <c r="J17" s="161">
        <v>70526.297999999995</v>
      </c>
      <c r="K17" s="44">
        <f t="shared" si="1"/>
        <v>9.6585864882604761E-2</v>
      </c>
      <c r="L17" s="76">
        <v>306</v>
      </c>
      <c r="M17" s="123">
        <v>78622</v>
      </c>
      <c r="N17" s="123">
        <v>36305</v>
      </c>
      <c r="O17" s="168">
        <v>34425.254126</v>
      </c>
      <c r="P17" s="125">
        <f t="shared" si="2"/>
        <v>5.1159975442263791E-2</v>
      </c>
    </row>
    <row r="18" spans="1:16" ht="12.75" hidden="1" customHeight="1" x14ac:dyDescent="0.2">
      <c r="B18" s="30"/>
      <c r="C18" s="6"/>
      <c r="D18" s="6"/>
      <c r="E18" s="151"/>
      <c r="F18" s="31"/>
      <c r="G18" s="41"/>
      <c r="H18" s="42"/>
      <c r="I18" s="42"/>
      <c r="J18" s="161"/>
      <c r="K18" s="44"/>
      <c r="L18" s="76"/>
      <c r="M18" s="123"/>
      <c r="N18" s="123"/>
      <c r="O18" s="168"/>
      <c r="P18" s="125"/>
    </row>
    <row r="19" spans="1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1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1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1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1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1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1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1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1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1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1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1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1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1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3">SUM(C$12:C$35)</f>
        <v>4004037</v>
      </c>
      <c r="D36" s="7">
        <f t="shared" si="3"/>
        <v>868818</v>
      </c>
      <c r="E36" s="152">
        <f t="shared" si="3"/>
        <v>822094.46900000004</v>
      </c>
      <c r="F36" s="64">
        <f>SUM(F$12:F$35)</f>
        <v>0.99999999999999989</v>
      </c>
      <c r="G36" s="45">
        <f t="shared" ref="G36:J36" si="4">SUM(G$12:G$35)</f>
        <v>1905</v>
      </c>
      <c r="H36" s="65">
        <f t="shared" si="4"/>
        <v>3932748</v>
      </c>
      <c r="I36" s="65">
        <f t="shared" si="4"/>
        <v>943332</v>
      </c>
      <c r="J36" s="162">
        <f t="shared" si="4"/>
        <v>730192.74699999997</v>
      </c>
      <c r="K36" s="66">
        <f t="shared" ref="K36:O36" si="5">SUM(K$12:K$35)</f>
        <v>1</v>
      </c>
      <c r="L36" s="77">
        <f t="shared" si="5"/>
        <v>1862</v>
      </c>
      <c r="M36" s="126">
        <f t="shared" si="5"/>
        <v>3700498</v>
      </c>
      <c r="N36" s="126">
        <f t="shared" si="5"/>
        <v>910945</v>
      </c>
      <c r="O36" s="169">
        <f t="shared" si="5"/>
        <v>672894.26604300004</v>
      </c>
      <c r="P36" s="128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institutions de prévoyance sans garantie étatique</v>
      </c>
    </row>
    <row r="52" spans="1:16" x14ac:dyDescent="0.2">
      <c r="A52" s="115" t="str">
        <f>$A$12</f>
        <v>Moins de 80,0 %</v>
      </c>
      <c r="B52" s="33">
        <v>27</v>
      </c>
      <c r="C52" s="8">
        <v>12783</v>
      </c>
      <c r="D52" s="8">
        <v>5763</v>
      </c>
      <c r="E52" s="153">
        <v>3921.5010000000002</v>
      </c>
      <c r="F52" s="34">
        <f t="shared" ref="F52:F57" si="6">E52/E$76</f>
        <v>5.4731347817875116E-3</v>
      </c>
      <c r="G52" s="47">
        <v>9</v>
      </c>
      <c r="H52" s="48">
        <v>1071</v>
      </c>
      <c r="I52" s="48">
        <v>641</v>
      </c>
      <c r="J52" s="163">
        <v>230.59299999999999</v>
      </c>
      <c r="K52" s="50">
        <f t="shared" ref="K52:K57" si="7">J52/J$76</f>
        <v>3.6885841021377361E-4</v>
      </c>
      <c r="L52" s="129">
        <v>25</v>
      </c>
      <c r="M52" s="130">
        <v>15356</v>
      </c>
      <c r="N52" s="130">
        <v>5280</v>
      </c>
      <c r="O52" s="170">
        <v>3120.1250000000005</v>
      </c>
      <c r="P52" s="132">
        <f t="shared" ref="P52:P57" si="8">O52/O$76</f>
        <v>5.4344838231883269E-3</v>
      </c>
    </row>
    <row r="53" spans="1:16" x14ac:dyDescent="0.2">
      <c r="A53" s="115" t="str">
        <f>$A$13</f>
        <v>De 80,0 à 89,9 %</v>
      </c>
      <c r="B53" s="33">
        <v>21</v>
      </c>
      <c r="C53" s="8">
        <v>19664</v>
      </c>
      <c r="D53" s="8">
        <v>7121</v>
      </c>
      <c r="E53" s="153">
        <v>3759.1489999999999</v>
      </c>
      <c r="F53" s="34">
        <f t="shared" si="6"/>
        <v>5.2465444078228568E-3</v>
      </c>
      <c r="G53" s="47">
        <v>35</v>
      </c>
      <c r="H53" s="48">
        <v>52412</v>
      </c>
      <c r="I53" s="48">
        <v>19111</v>
      </c>
      <c r="J53" s="163">
        <v>10154.790999999999</v>
      </c>
      <c r="K53" s="50">
        <f t="shared" si="7"/>
        <v>1.6243685039498752E-2</v>
      </c>
      <c r="L53" s="129">
        <v>49</v>
      </c>
      <c r="M53" s="130">
        <v>140331</v>
      </c>
      <c r="N53" s="130">
        <v>53147</v>
      </c>
      <c r="O53" s="170">
        <v>38046.424411999993</v>
      </c>
      <c r="P53" s="132">
        <f t="shared" si="8"/>
        <v>6.6267434156378785E-2</v>
      </c>
    </row>
    <row r="54" spans="1:16" x14ac:dyDescent="0.2">
      <c r="A54" s="115" t="str">
        <f>$A$14</f>
        <v>De 90,0 à 99,9 %</v>
      </c>
      <c r="B54" s="33">
        <v>102</v>
      </c>
      <c r="C54" s="8">
        <v>288720</v>
      </c>
      <c r="D54" s="8">
        <v>94355</v>
      </c>
      <c r="E54" s="153">
        <v>75484.747000000003</v>
      </c>
      <c r="F54" s="34">
        <f t="shared" si="6"/>
        <v>0.10535205634274492</v>
      </c>
      <c r="G54" s="47">
        <v>202</v>
      </c>
      <c r="H54" s="48">
        <v>475471</v>
      </c>
      <c r="I54" s="48">
        <v>200850</v>
      </c>
      <c r="J54" s="163">
        <v>149889.78599999999</v>
      </c>
      <c r="K54" s="50">
        <f t="shared" si="7"/>
        <v>0.23976490253929103</v>
      </c>
      <c r="L54" s="129">
        <v>294</v>
      </c>
      <c r="M54" s="130">
        <v>503268</v>
      </c>
      <c r="N54" s="130">
        <v>223780</v>
      </c>
      <c r="O54" s="170">
        <v>140303.95657500005</v>
      </c>
      <c r="P54" s="132">
        <f t="shared" si="8"/>
        <v>0.24437469086531954</v>
      </c>
    </row>
    <row r="55" spans="1:16" x14ac:dyDescent="0.2">
      <c r="A55" s="115" t="str">
        <f>$A$15</f>
        <v>De 100,0 à 109,9 %</v>
      </c>
      <c r="B55" s="33">
        <v>570</v>
      </c>
      <c r="C55" s="8">
        <v>2004175</v>
      </c>
      <c r="D55" s="8">
        <v>285018</v>
      </c>
      <c r="E55" s="153">
        <v>310704.94500000001</v>
      </c>
      <c r="F55" s="34">
        <f t="shared" si="6"/>
        <v>0.43364263871228792</v>
      </c>
      <c r="G55" s="47">
        <v>690</v>
      </c>
      <c r="H55" s="48">
        <v>2149500</v>
      </c>
      <c r="I55" s="48">
        <v>340869</v>
      </c>
      <c r="J55" s="163">
        <v>253919.01500000001</v>
      </c>
      <c r="K55" s="50">
        <f t="shared" si="7"/>
        <v>0.40617089068595896</v>
      </c>
      <c r="L55" s="129">
        <v>787</v>
      </c>
      <c r="M55" s="130">
        <v>2191167</v>
      </c>
      <c r="N55" s="130">
        <v>339416</v>
      </c>
      <c r="O55" s="170">
        <v>272737.35446399997</v>
      </c>
      <c r="P55" s="132">
        <f t="shared" si="8"/>
        <v>0.47504082074076781</v>
      </c>
    </row>
    <row r="56" spans="1:16" x14ac:dyDescent="0.2">
      <c r="A56" s="115" t="str">
        <f>$A$16</f>
        <v>De 110,0 à 119,9 %</v>
      </c>
      <c r="B56" s="33">
        <v>547</v>
      </c>
      <c r="C56" s="8">
        <v>1009545</v>
      </c>
      <c r="D56" s="8">
        <v>189809</v>
      </c>
      <c r="E56" s="153">
        <v>196231.70300000001</v>
      </c>
      <c r="F56" s="34">
        <f t="shared" si="6"/>
        <v>0.27387537552041852</v>
      </c>
      <c r="G56" s="47">
        <v>509</v>
      </c>
      <c r="H56" s="48">
        <v>719169</v>
      </c>
      <c r="I56" s="48">
        <v>142645</v>
      </c>
      <c r="J56" s="163">
        <v>140432.67499999999</v>
      </c>
      <c r="K56" s="50">
        <f t="shared" si="7"/>
        <v>0.22463723201730992</v>
      </c>
      <c r="L56" s="129">
        <v>335</v>
      </c>
      <c r="M56" s="130">
        <v>386405</v>
      </c>
      <c r="N56" s="130">
        <v>97773</v>
      </c>
      <c r="O56" s="170">
        <v>85501.449350999988</v>
      </c>
      <c r="P56" s="132">
        <f t="shared" si="8"/>
        <v>0.14892231668832673</v>
      </c>
    </row>
    <row r="57" spans="1:16" ht="12.75" customHeight="1" x14ac:dyDescent="0.2">
      <c r="A57" s="115" t="str">
        <f>$A$17</f>
        <v>120,0 % et plus</v>
      </c>
      <c r="B57" s="33">
        <v>535</v>
      </c>
      <c r="C57" s="8">
        <v>329770</v>
      </c>
      <c r="D57" s="8">
        <v>132840</v>
      </c>
      <c r="E57" s="153">
        <v>126397.942</v>
      </c>
      <c r="F57" s="34">
        <f t="shared" si="6"/>
        <v>0.17641025023493823</v>
      </c>
      <c r="G57" s="47">
        <v>402</v>
      </c>
      <c r="H57" s="48">
        <v>177009</v>
      </c>
      <c r="I57" s="48">
        <v>79511</v>
      </c>
      <c r="J57" s="163">
        <v>70526.297999999995</v>
      </c>
      <c r="K57" s="50">
        <f t="shared" si="7"/>
        <v>0.11281443130772764</v>
      </c>
      <c r="L57" s="129">
        <v>306</v>
      </c>
      <c r="M57" s="130">
        <v>78622</v>
      </c>
      <c r="N57" s="130">
        <v>36305</v>
      </c>
      <c r="O57" s="170">
        <v>34425.254126</v>
      </c>
      <c r="P57" s="132">
        <f t="shared" si="8"/>
        <v>5.9960253726018722E-2</v>
      </c>
    </row>
    <row r="58" spans="1:16" ht="12.75" hidden="1" customHeight="1" x14ac:dyDescent="0.2">
      <c r="A58" s="115">
        <f>$A$18</f>
        <v>0</v>
      </c>
      <c r="B58" s="33"/>
      <c r="C58" s="8"/>
      <c r="D58" s="8"/>
      <c r="E58" s="153"/>
      <c r="F58" s="34"/>
      <c r="G58" s="47"/>
      <c r="H58" s="48"/>
      <c r="I58" s="48"/>
      <c r="J58" s="163"/>
      <c r="K58" s="50"/>
      <c r="L58" s="129"/>
      <c r="M58" s="130"/>
      <c r="N58" s="130"/>
      <c r="O58" s="170"/>
      <c r="P58" s="132"/>
    </row>
    <row r="59" spans="1:16" ht="12.75" hidden="1" customHeight="1" x14ac:dyDescent="0.2">
      <c r="A59" s="115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5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5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5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5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5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5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716499.98700000008</v>
      </c>
      <c r="F76" s="67">
        <f t="shared" ref="F76:J76" si="9">SUM(F$52:F$75)</f>
        <v>1</v>
      </c>
      <c r="G76" s="51">
        <f t="shared" si="9"/>
        <v>1847</v>
      </c>
      <c r="H76" s="68">
        <f t="shared" si="9"/>
        <v>3574632</v>
      </c>
      <c r="I76" s="68">
        <f t="shared" si="9"/>
        <v>783627</v>
      </c>
      <c r="J76" s="164">
        <f t="shared" si="9"/>
        <v>625153.15799999994</v>
      </c>
      <c r="K76" s="69">
        <f t="shared" ref="K76:O76" si="10">SUM(K$52:K$75)</f>
        <v>1</v>
      </c>
      <c r="L76" s="133">
        <f t="shared" si="10"/>
        <v>1796</v>
      </c>
      <c r="M76" s="134">
        <f t="shared" si="10"/>
        <v>3315149</v>
      </c>
      <c r="N76" s="134">
        <f t="shared" si="10"/>
        <v>755701</v>
      </c>
      <c r="O76" s="171">
        <f t="shared" si="10"/>
        <v>574134.56392800005</v>
      </c>
      <c r="P76" s="136">
        <f>SUM(P$52:P$75)</f>
        <v>0.99999999999999989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institutions de prévoyance avec garantie étatique</v>
      </c>
    </row>
    <row r="92" spans="1:16" x14ac:dyDescent="0.2">
      <c r="A92" s="115" t="str">
        <f>$A$12</f>
        <v>Moins de 80,0 %</v>
      </c>
      <c r="B92" s="36">
        <v>15</v>
      </c>
      <c r="C92" s="10">
        <v>171852</v>
      </c>
      <c r="D92" s="10">
        <v>79435</v>
      </c>
      <c r="E92" s="155">
        <v>44709.881000000001</v>
      </c>
      <c r="F92" s="37">
        <f t="shared" ref="F92:F97" si="11">E92/E$116</f>
        <v>0.42341114945760144</v>
      </c>
      <c r="G92" s="53">
        <v>23</v>
      </c>
      <c r="H92" s="54">
        <v>231075</v>
      </c>
      <c r="I92" s="54">
        <v>104195</v>
      </c>
      <c r="J92" s="165">
        <v>61748.160000000003</v>
      </c>
      <c r="K92" s="56">
        <f t="shared" ref="K92:K97" si="12">J92/J$116</f>
        <v>0.58785607015274977</v>
      </c>
      <c r="L92" s="137">
        <v>21</v>
      </c>
      <c r="M92" s="138">
        <v>256101</v>
      </c>
      <c r="N92" s="138">
        <v>104354.00000000001</v>
      </c>
      <c r="O92" s="172">
        <v>60535.959000000003</v>
      </c>
      <c r="P92" s="140">
        <f t="shared" ref="P92:P97" si="13">O92/O$116</f>
        <v>0.61296214653937853</v>
      </c>
    </row>
    <row r="93" spans="1:16" x14ac:dyDescent="0.2">
      <c r="A93" s="115" t="str">
        <f>$A$13</f>
        <v>De 80,0 à 89,9 %</v>
      </c>
      <c r="B93" s="36">
        <v>8</v>
      </c>
      <c r="C93" s="10">
        <v>60849</v>
      </c>
      <c r="D93" s="10">
        <v>26470</v>
      </c>
      <c r="E93" s="155">
        <v>23137.300999999999</v>
      </c>
      <c r="F93" s="37">
        <f t="shared" si="11"/>
        <v>0.21911467873861062</v>
      </c>
      <c r="G93" s="53">
        <v>11</v>
      </c>
      <c r="H93" s="54">
        <v>80713</v>
      </c>
      <c r="I93" s="54">
        <v>39038</v>
      </c>
      <c r="J93" s="165">
        <v>29073.342000000001</v>
      </c>
      <c r="K93" s="56">
        <f t="shared" si="12"/>
        <v>0.27678461308526253</v>
      </c>
      <c r="L93" s="137">
        <v>10</v>
      </c>
      <c r="M93" s="138">
        <v>53875</v>
      </c>
      <c r="N93" s="138">
        <v>27441</v>
      </c>
      <c r="O93" s="172">
        <v>19235.317999999996</v>
      </c>
      <c r="P93" s="140">
        <f t="shared" si="13"/>
        <v>0.19476889447885912</v>
      </c>
    </row>
    <row r="94" spans="1:16" x14ac:dyDescent="0.2">
      <c r="A94" s="115" t="str">
        <f>$A$14</f>
        <v>De 90,0 à 99,9 %</v>
      </c>
      <c r="B94" s="36">
        <v>11</v>
      </c>
      <c r="C94" s="10">
        <v>65257</v>
      </c>
      <c r="D94" s="10">
        <v>33859</v>
      </c>
      <c r="E94" s="155">
        <v>25235.96</v>
      </c>
      <c r="F94" s="37">
        <f t="shared" si="11"/>
        <v>0.23898938203986836</v>
      </c>
      <c r="G94" s="53">
        <v>16</v>
      </c>
      <c r="H94" s="54">
        <v>31133</v>
      </c>
      <c r="I94" s="54">
        <v>10982</v>
      </c>
      <c r="J94" s="165">
        <v>9363.26</v>
      </c>
      <c r="K94" s="56">
        <f t="shared" si="12"/>
        <v>8.9140295474690018E-2</v>
      </c>
      <c r="L94" s="137">
        <v>26</v>
      </c>
      <c r="M94" s="138">
        <v>55321</v>
      </c>
      <c r="N94" s="138">
        <v>19981</v>
      </c>
      <c r="O94" s="172">
        <v>16482.182115</v>
      </c>
      <c r="P94" s="140">
        <f t="shared" si="13"/>
        <v>0.1668917763219602</v>
      </c>
    </row>
    <row r="95" spans="1:16" x14ac:dyDescent="0.2">
      <c r="A95" s="115" t="str">
        <f>$A$15</f>
        <v>De 100,0 à 109,9 %</v>
      </c>
      <c r="B95" s="36">
        <v>7</v>
      </c>
      <c r="C95" s="10">
        <v>40941</v>
      </c>
      <c r="D95" s="10">
        <v>13908</v>
      </c>
      <c r="E95" s="155">
        <v>12306.732</v>
      </c>
      <c r="F95" s="37">
        <f t="shared" si="11"/>
        <v>0.11654711275538054</v>
      </c>
      <c r="G95" s="53">
        <v>7</v>
      </c>
      <c r="H95" s="54">
        <v>14762</v>
      </c>
      <c r="I95" s="54">
        <v>5290</v>
      </c>
      <c r="J95" s="165">
        <v>4717.1170000000002</v>
      </c>
      <c r="K95" s="56">
        <f t="shared" si="12"/>
        <v>4.4907991785839908E-2</v>
      </c>
      <c r="L95" s="137">
        <v>8</v>
      </c>
      <c r="M95" s="138">
        <v>20039</v>
      </c>
      <c r="N95" s="138">
        <v>3460</v>
      </c>
      <c r="O95" s="172">
        <v>2504.9949999999999</v>
      </c>
      <c r="P95" s="140">
        <f t="shared" si="13"/>
        <v>2.5364545926668317E-2</v>
      </c>
    </row>
    <row r="96" spans="1:16" x14ac:dyDescent="0.2">
      <c r="A96" s="115" t="str">
        <f>$A$16</f>
        <v>De 110,0 à 119,9 %</v>
      </c>
      <c r="B96" s="36">
        <v>2</v>
      </c>
      <c r="C96" s="10">
        <v>481</v>
      </c>
      <c r="D96" s="10">
        <v>240</v>
      </c>
      <c r="E96" s="155">
        <v>204.608</v>
      </c>
      <c r="F96" s="37">
        <f t="shared" si="11"/>
        <v>1.9376770085391397E-3</v>
      </c>
      <c r="G96" s="53">
        <v>1</v>
      </c>
      <c r="H96" s="54">
        <v>433</v>
      </c>
      <c r="I96" s="54">
        <v>200</v>
      </c>
      <c r="J96" s="165">
        <v>137.71</v>
      </c>
      <c r="K96" s="56">
        <f t="shared" si="12"/>
        <v>1.311029501457779E-3</v>
      </c>
      <c r="L96" s="137">
        <v>1</v>
      </c>
      <c r="M96" s="138">
        <v>13</v>
      </c>
      <c r="N96" s="138">
        <v>8</v>
      </c>
      <c r="O96" s="172">
        <v>1.248</v>
      </c>
      <c r="P96" s="140">
        <f t="shared" si="13"/>
        <v>1.2636733133791509E-5</v>
      </c>
    </row>
    <row r="97" spans="1:16" ht="12.75" customHeight="1" x14ac:dyDescent="0.2">
      <c r="A97" s="115" t="str">
        <f>$A$17</f>
        <v>120,0 % et plus</v>
      </c>
      <c r="B97" s="36">
        <v>0</v>
      </c>
      <c r="C97" s="10">
        <v>0</v>
      </c>
      <c r="D97" s="10">
        <v>0</v>
      </c>
      <c r="E97" s="155">
        <v>0</v>
      </c>
      <c r="F97" s="37">
        <f t="shared" si="11"/>
        <v>0</v>
      </c>
      <c r="G97" s="53">
        <v>0</v>
      </c>
      <c r="H97" s="54">
        <v>0</v>
      </c>
      <c r="I97" s="54">
        <v>0</v>
      </c>
      <c r="J97" s="165">
        <v>0</v>
      </c>
      <c r="K97" s="56">
        <f t="shared" si="12"/>
        <v>0</v>
      </c>
      <c r="L97" s="137">
        <v>0</v>
      </c>
      <c r="M97" s="138">
        <v>0</v>
      </c>
      <c r="N97" s="138">
        <v>0</v>
      </c>
      <c r="O97" s="172">
        <v>0</v>
      </c>
      <c r="P97" s="140">
        <f t="shared" si="13"/>
        <v>0</v>
      </c>
    </row>
    <row r="98" spans="1:16" ht="12.75" hidden="1" customHeight="1" x14ac:dyDescent="0.2">
      <c r="A98" s="115">
        <f>$A$18</f>
        <v>0</v>
      </c>
      <c r="B98" s="36"/>
      <c r="C98" s="10"/>
      <c r="D98" s="10"/>
      <c r="E98" s="155"/>
      <c r="F98" s="37"/>
      <c r="G98" s="53"/>
      <c r="H98" s="54"/>
      <c r="I98" s="54"/>
      <c r="J98" s="165"/>
      <c r="K98" s="56"/>
      <c r="L98" s="137"/>
      <c r="M98" s="138"/>
      <c r="N98" s="138"/>
      <c r="O98" s="172"/>
      <c r="P98" s="140"/>
    </row>
    <row r="99" spans="1:16" ht="12.75" hidden="1" customHeight="1" x14ac:dyDescent="0.2">
      <c r="A99" s="115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105594.48199999999</v>
      </c>
      <c r="F116" s="70">
        <f t="shared" ref="F116:J116" si="14">SUM(F$92:F$115)</f>
        <v>1</v>
      </c>
      <c r="G116" s="57">
        <f t="shared" si="14"/>
        <v>58</v>
      </c>
      <c r="H116" s="71">
        <f t="shared" si="14"/>
        <v>358116</v>
      </c>
      <c r="I116" s="71">
        <f t="shared" si="14"/>
        <v>159705</v>
      </c>
      <c r="J116" s="166">
        <f t="shared" si="14"/>
        <v>105039.58900000001</v>
      </c>
      <c r="K116" s="72">
        <f t="shared" ref="K116:O116" si="15">SUM(K$92:K$115)</f>
        <v>1</v>
      </c>
      <c r="L116" s="141">
        <f t="shared" si="15"/>
        <v>66</v>
      </c>
      <c r="M116" s="142">
        <f t="shared" si="15"/>
        <v>385349</v>
      </c>
      <c r="N116" s="142">
        <f t="shared" si="15"/>
        <v>155244</v>
      </c>
      <c r="O116" s="173">
        <f t="shared" si="15"/>
        <v>98759.702115000007</v>
      </c>
      <c r="P116" s="144">
        <f>SUM(P$92:P$115)</f>
        <v>1</v>
      </c>
    </row>
    <row r="120" spans="1:16" x14ac:dyDescent="0.2">
      <c r="A120" s="111" t="str">
        <f>Translation!$A$36</f>
        <v>somme du bilan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16" orientation="landscape" cellComments="atEnd" r:id="rId1"/>
  <headerFooter>
    <oddFooter>&amp;L&amp;10&amp;F / &amp;A&amp;C&amp;10&amp;P / &amp;N&amp;R&amp;10OAK BV - RM / 12.05.2015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8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Translation!$A$194</f>
        <v>Primauté des cotisations et primauté des prestations pour les prestations de vieillesse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retour à la vue d'ensemble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/>
      <c r="B4" s="28" t="str">
        <f>Translation!$A$40</f>
        <v>Nombre d'IP</v>
      </c>
      <c r="C4" s="19" t="str">
        <f>Translation!$A$41</f>
        <v>Nombre d'assurés actifs</v>
      </c>
      <c r="D4" s="19" t="str">
        <f>Translation!$A$42</f>
        <v>Nombre de rentiers</v>
      </c>
      <c r="E4" s="149" t="str">
        <f>Translation!$A$43</f>
        <v>Somme du bilan</v>
      </c>
      <c r="F4" s="29" t="str">
        <f>Translation!$A$46</f>
        <v>Part de la somme du bilan</v>
      </c>
      <c r="G4" s="28" t="str">
        <f>Translation!$A$40</f>
        <v>Nombre d'IP</v>
      </c>
      <c r="H4" s="19" t="str">
        <f>Translation!$A$41</f>
        <v>Nombre d'assurés actifs</v>
      </c>
      <c r="I4" s="19" t="str">
        <f>Translation!$A$42</f>
        <v>Nombre de rentiers</v>
      </c>
      <c r="J4" s="149" t="str">
        <f>Translation!$A$43</f>
        <v>Somme du bilan</v>
      </c>
      <c r="K4" s="29" t="str">
        <f>Translation!$A$46</f>
        <v>Part de la somme du bilan</v>
      </c>
      <c r="L4" s="28" t="str">
        <f>Translation!$A$40</f>
        <v>Nombre d'IP</v>
      </c>
      <c r="M4" s="73" t="str">
        <f>Translation!$A$41</f>
        <v>Nombre d'assurés actifs</v>
      </c>
      <c r="N4" s="73" t="str">
        <f>Translation!$A$42</f>
        <v>Nombre de rentiers</v>
      </c>
      <c r="O4" s="149" t="str">
        <f>Translation!$A$43</f>
        <v>Somme du bilan</v>
      </c>
      <c r="P4" s="29" t="str">
        <f>Translation!$A$46</f>
        <v>Part de la somme du bilan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toutes les institutions de prévoyance</v>
      </c>
    </row>
    <row r="12" spans="1:16" x14ac:dyDescent="0.2">
      <c r="A12" s="115" t="str">
        <f>Translation!$A195</f>
        <v>Primauté des cotisations</v>
      </c>
      <c r="B12" s="30">
        <v>1617</v>
      </c>
      <c r="C12" s="6">
        <v>3555318</v>
      </c>
      <c r="D12" s="6">
        <v>642551</v>
      </c>
      <c r="E12" s="151">
        <v>648830.86</v>
      </c>
      <c r="F12" s="31">
        <f>E12/E$36</f>
        <v>0.7892412422981524</v>
      </c>
      <c r="G12" s="41">
        <v>1639</v>
      </c>
      <c r="H12" s="42">
        <v>3431900</v>
      </c>
      <c r="I12" s="42">
        <v>704716</v>
      </c>
      <c r="J12" s="161">
        <v>554004.78399999999</v>
      </c>
      <c r="K12" s="44">
        <f>J12/J$36</f>
        <v>0.75871033542325761</v>
      </c>
      <c r="L12" s="76">
        <v>1591</v>
      </c>
      <c r="M12" s="123">
        <v>3149768</v>
      </c>
      <c r="N12" s="123">
        <v>661289</v>
      </c>
      <c r="O12" s="168">
        <v>487005.71338300017</v>
      </c>
      <c r="P12" s="125">
        <f>O12/O$36</f>
        <v>0.72374775348714138</v>
      </c>
    </row>
    <row r="13" spans="1:16" x14ac:dyDescent="0.2">
      <c r="A13" s="115" t="str">
        <f>Translation!$A196</f>
        <v>Forme mixte</v>
      </c>
      <c r="B13" s="30">
        <v>47</v>
      </c>
      <c r="C13" s="6">
        <v>88788</v>
      </c>
      <c r="D13" s="6">
        <v>46925</v>
      </c>
      <c r="E13" s="151">
        <v>39378.252999999997</v>
      </c>
      <c r="F13" s="31">
        <f>E13/E$36</f>
        <v>4.7899912339636475E-2</v>
      </c>
      <c r="G13" s="41">
        <v>48</v>
      </c>
      <c r="H13" s="42">
        <v>94836</v>
      </c>
      <c r="I13" s="42">
        <v>48103</v>
      </c>
      <c r="J13" s="161">
        <v>39282.127999999997</v>
      </c>
      <c r="K13" s="44">
        <f>J13/J$36</f>
        <v>5.3796929867340894E-2</v>
      </c>
      <c r="L13" s="76">
        <v>54</v>
      </c>
      <c r="M13" s="123">
        <v>84343</v>
      </c>
      <c r="N13" s="123">
        <v>46290</v>
      </c>
      <c r="O13" s="168">
        <v>39978.937236000005</v>
      </c>
      <c r="P13" s="125">
        <f>O13/O$36</f>
        <v>5.9413401560246347E-2</v>
      </c>
    </row>
    <row r="14" spans="1:16" x14ac:dyDescent="0.2">
      <c r="A14" s="115" t="str">
        <f>Translation!$A197</f>
        <v>Autre</v>
      </c>
      <c r="B14" s="30">
        <v>28</v>
      </c>
      <c r="C14" s="6">
        <v>10266</v>
      </c>
      <c r="D14" s="6">
        <v>2775</v>
      </c>
      <c r="E14" s="151">
        <v>3739.5230000000001</v>
      </c>
      <c r="F14" s="31">
        <f>E14/E$36</f>
        <v>4.5487752819317407E-3</v>
      </c>
      <c r="G14" s="41">
        <v>44</v>
      </c>
      <c r="H14" s="42">
        <v>10679</v>
      </c>
      <c r="I14" s="42">
        <v>2850</v>
      </c>
      <c r="J14" s="161">
        <v>2439.6689999999999</v>
      </c>
      <c r="K14" s="44">
        <f>J14/J$36</f>
        <v>3.3411301468323122E-3</v>
      </c>
      <c r="L14" s="76">
        <v>79</v>
      </c>
      <c r="M14" s="123">
        <v>60657</v>
      </c>
      <c r="N14" s="123">
        <v>21056</v>
      </c>
      <c r="O14" s="168">
        <v>22461.967758999999</v>
      </c>
      <c r="P14" s="125">
        <f>O14/O$36</f>
        <v>3.3381125226536863E-2</v>
      </c>
    </row>
    <row r="15" spans="1:16" x14ac:dyDescent="0.2">
      <c r="A15" s="115" t="str">
        <f>Translation!$A198</f>
        <v>Primauté des prestations</v>
      </c>
      <c r="B15" s="30">
        <v>96</v>
      </c>
      <c r="C15" s="6">
        <v>349665</v>
      </c>
      <c r="D15" s="6">
        <v>171436</v>
      </c>
      <c r="E15" s="151">
        <v>127500.564</v>
      </c>
      <c r="F15" s="31">
        <f>E15/E$36</f>
        <v>0.15509235107139493</v>
      </c>
      <c r="G15" s="41">
        <v>118</v>
      </c>
      <c r="H15" s="42">
        <v>395333</v>
      </c>
      <c r="I15" s="42">
        <v>183880</v>
      </c>
      <c r="J15" s="161">
        <v>132256.489</v>
      </c>
      <c r="K15" s="44">
        <f>J15/J$36</f>
        <v>0.18112544878510001</v>
      </c>
      <c r="L15" s="76">
        <v>138</v>
      </c>
      <c r="M15" s="123">
        <v>405730</v>
      </c>
      <c r="N15" s="123">
        <v>182310</v>
      </c>
      <c r="O15" s="168">
        <v>123447.647665</v>
      </c>
      <c r="P15" s="125">
        <f>O15/O$36</f>
        <v>0.1834577197260755</v>
      </c>
    </row>
    <row r="16" spans="1:16" ht="14.25" customHeight="1" x14ac:dyDescent="0.2">
      <c r="A16" s="115" t="str">
        <f>Translation!$A199</f>
        <v>Caisse ne comptant que des rentiers</v>
      </c>
      <c r="B16" s="30">
        <v>57</v>
      </c>
      <c r="C16" s="6">
        <v>0</v>
      </c>
      <c r="D16" s="6">
        <v>5131</v>
      </c>
      <c r="E16" s="151">
        <v>2645.2689999999998</v>
      </c>
      <c r="F16" s="31">
        <f>E16/E$36</f>
        <v>3.2177190088843667E-3</v>
      </c>
      <c r="G16" s="41">
        <v>56</v>
      </c>
      <c r="H16" s="42">
        <v>0</v>
      </c>
      <c r="I16" s="42">
        <v>3783</v>
      </c>
      <c r="J16" s="161">
        <v>2209.6770000000001</v>
      </c>
      <c r="K16" s="44">
        <f>J16/J$36</f>
        <v>3.0261557774689863E-3</v>
      </c>
      <c r="L16" s="180" t="str">
        <f>Translation!$A$433</f>
        <v>non saisi séparément</v>
      </c>
      <c r="M16" s="181"/>
      <c r="N16" s="181"/>
      <c r="O16" s="181"/>
      <c r="P16" s="182"/>
    </row>
    <row r="17" spans="2:16" ht="12.75" hidden="1" customHeight="1" x14ac:dyDescent="0.2">
      <c r="B17" s="30"/>
      <c r="C17" s="6"/>
      <c r="D17" s="6"/>
      <c r="E17" s="151"/>
      <c r="F17" s="31"/>
      <c r="G17" s="41"/>
      <c r="H17" s="42"/>
      <c r="I17" s="42"/>
      <c r="J17" s="161"/>
      <c r="K17" s="44"/>
      <c r="L17" s="76"/>
      <c r="M17" s="123"/>
      <c r="N17" s="123"/>
      <c r="O17" s="168"/>
      <c r="P17" s="125"/>
    </row>
    <row r="18" spans="2:16" ht="12.75" hidden="1" customHeight="1" x14ac:dyDescent="0.2">
      <c r="B18" s="30"/>
      <c r="C18" s="6"/>
      <c r="D18" s="6"/>
      <c r="E18" s="151"/>
      <c r="F18" s="31"/>
      <c r="G18" s="41"/>
      <c r="H18" s="42"/>
      <c r="I18" s="42"/>
      <c r="J18" s="161"/>
      <c r="K18" s="44"/>
      <c r="L18" s="76"/>
      <c r="M18" s="123"/>
      <c r="N18" s="123"/>
      <c r="O18" s="168"/>
      <c r="P18" s="125"/>
    </row>
    <row r="19" spans="2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2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2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2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2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2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2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2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2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2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2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2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2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2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>SUM(C$12:C$35)</f>
        <v>4004037</v>
      </c>
      <c r="D36" s="7">
        <f>SUM(D$12:D$35)</f>
        <v>868818</v>
      </c>
      <c r="E36" s="152">
        <f>SUM(E$12:E$35)</f>
        <v>822094.46900000004</v>
      </c>
      <c r="F36" s="64">
        <f t="shared" ref="F36:J36" si="0">SUM(F$12:F$35)</f>
        <v>1</v>
      </c>
      <c r="G36" s="45">
        <f t="shared" si="0"/>
        <v>1905</v>
      </c>
      <c r="H36" s="65">
        <f t="shared" si="0"/>
        <v>3932748</v>
      </c>
      <c r="I36" s="65">
        <f t="shared" si="0"/>
        <v>943332</v>
      </c>
      <c r="J36" s="162">
        <f t="shared" si="0"/>
        <v>730192.74700000009</v>
      </c>
      <c r="K36" s="66">
        <f t="shared" ref="K36:O36" si="1">SUM(K$12:K$35)</f>
        <v>0.99999999999999989</v>
      </c>
      <c r="L36" s="77">
        <f t="shared" si="1"/>
        <v>1862</v>
      </c>
      <c r="M36" s="126">
        <f t="shared" si="1"/>
        <v>3700498</v>
      </c>
      <c r="N36" s="126">
        <f t="shared" si="1"/>
        <v>910945</v>
      </c>
      <c r="O36" s="169">
        <f t="shared" si="1"/>
        <v>672894.26604300016</v>
      </c>
      <c r="P36" s="128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institutions de prévoyance sans garantie étatique</v>
      </c>
    </row>
    <row r="52" spans="1:16" x14ac:dyDescent="0.2">
      <c r="A52" s="115" t="str">
        <f>$A$12</f>
        <v>Primauté des cotisations</v>
      </c>
      <c r="B52" s="33">
        <v>1596</v>
      </c>
      <c r="C52" s="8">
        <v>3469590</v>
      </c>
      <c r="D52" s="8">
        <v>608314</v>
      </c>
      <c r="E52" s="153">
        <v>623542.245</v>
      </c>
      <c r="F52" s="34">
        <f>E52/E$76</f>
        <v>0.87026134865791704</v>
      </c>
      <c r="G52" s="47">
        <v>1616</v>
      </c>
      <c r="H52" s="48">
        <v>3362487</v>
      </c>
      <c r="I52" s="48">
        <v>676063</v>
      </c>
      <c r="J52" s="163">
        <v>533783.11399999994</v>
      </c>
      <c r="K52" s="50">
        <f>J52/J$76</f>
        <v>0.85384374559937837</v>
      </c>
      <c r="L52" s="129">
        <v>1557</v>
      </c>
      <c r="M52" s="130">
        <v>3054704</v>
      </c>
      <c r="N52" s="130">
        <v>628299</v>
      </c>
      <c r="O52" s="170">
        <v>463750.32838300016</v>
      </c>
      <c r="P52" s="132">
        <f>O52/O$76</f>
        <v>0.80773804177579034</v>
      </c>
    </row>
    <row r="53" spans="1:16" x14ac:dyDescent="0.2">
      <c r="A53" s="115" t="str">
        <f>$A$13</f>
        <v>Forme mixte</v>
      </c>
      <c r="B53" s="33">
        <v>46</v>
      </c>
      <c r="C53" s="8">
        <v>83707</v>
      </c>
      <c r="D53" s="8">
        <v>43164</v>
      </c>
      <c r="E53" s="153">
        <v>37323.457999999999</v>
      </c>
      <c r="F53" s="34">
        <f>E53/E$76</f>
        <v>5.2091358935363111E-2</v>
      </c>
      <c r="G53" s="47">
        <v>45</v>
      </c>
      <c r="H53" s="48">
        <v>81503</v>
      </c>
      <c r="I53" s="48">
        <v>40997</v>
      </c>
      <c r="J53" s="163">
        <v>34878.453000000001</v>
      </c>
      <c r="K53" s="50">
        <f>J53/J$76</f>
        <v>5.5791852850241866E-2</v>
      </c>
      <c r="L53" s="129">
        <v>51</v>
      </c>
      <c r="M53" s="130">
        <v>75581</v>
      </c>
      <c r="N53" s="130">
        <v>42706</v>
      </c>
      <c r="O53" s="170">
        <v>37481.820236000007</v>
      </c>
      <c r="P53" s="132">
        <f>O53/O$76</f>
        <v>6.528403372819834E-2</v>
      </c>
    </row>
    <row r="54" spans="1:16" x14ac:dyDescent="0.2">
      <c r="A54" s="115" t="str">
        <f>$A$14</f>
        <v>Autre</v>
      </c>
      <c r="B54" s="33">
        <v>28</v>
      </c>
      <c r="C54" s="8">
        <v>10266</v>
      </c>
      <c r="D54" s="8">
        <v>2775</v>
      </c>
      <c r="E54" s="153">
        <v>3739.5230000000001</v>
      </c>
      <c r="F54" s="34">
        <f>E54/E$76</f>
        <v>5.219152920933689E-3</v>
      </c>
      <c r="G54" s="47">
        <v>42</v>
      </c>
      <c r="H54" s="48">
        <v>10087</v>
      </c>
      <c r="I54" s="48">
        <v>2498</v>
      </c>
      <c r="J54" s="163">
        <v>2329.7759999999998</v>
      </c>
      <c r="K54" s="50">
        <f>J54/J$76</f>
        <v>3.7267283547818214E-3</v>
      </c>
      <c r="L54" s="129">
        <v>78</v>
      </c>
      <c r="M54" s="130">
        <v>60264</v>
      </c>
      <c r="N54" s="130">
        <v>20944</v>
      </c>
      <c r="O54" s="170">
        <v>22461.967758999999</v>
      </c>
      <c r="P54" s="132">
        <f>O54/O$76</f>
        <v>3.9123176290457341E-2</v>
      </c>
    </row>
    <row r="55" spans="1:16" x14ac:dyDescent="0.2">
      <c r="A55" s="115" t="str">
        <f>$A$15</f>
        <v>Primauté des prestations</v>
      </c>
      <c r="B55" s="33">
        <v>75</v>
      </c>
      <c r="C55" s="8">
        <v>101094</v>
      </c>
      <c r="D55" s="8">
        <v>55522</v>
      </c>
      <c r="E55" s="153">
        <v>49249.491999999998</v>
      </c>
      <c r="F55" s="34">
        <f>E55/E$76</f>
        <v>6.8736207806797914E-2</v>
      </c>
      <c r="G55" s="47">
        <v>88</v>
      </c>
      <c r="H55" s="48">
        <v>120555</v>
      </c>
      <c r="I55" s="48">
        <v>60286</v>
      </c>
      <c r="J55" s="163">
        <v>51952.137999999999</v>
      </c>
      <c r="K55" s="50">
        <f>J55/J$76</f>
        <v>8.3103056163398609E-2</v>
      </c>
      <c r="L55" s="129">
        <v>110</v>
      </c>
      <c r="M55" s="130">
        <v>124600</v>
      </c>
      <c r="N55" s="130">
        <v>63752.000000000007</v>
      </c>
      <c r="O55" s="170">
        <v>50440.447550000004</v>
      </c>
      <c r="P55" s="132">
        <f>O55/O$76</f>
        <v>8.7854748205554001E-2</v>
      </c>
    </row>
    <row r="56" spans="1:16" ht="14.25" customHeight="1" x14ac:dyDescent="0.2">
      <c r="A56" s="115" t="str">
        <f>$A$16</f>
        <v>Caisse ne comptant que des rentiers</v>
      </c>
      <c r="B56" s="33">
        <v>57</v>
      </c>
      <c r="C56" s="8">
        <v>0</v>
      </c>
      <c r="D56" s="8">
        <v>5131</v>
      </c>
      <c r="E56" s="153">
        <v>2645.2689999999998</v>
      </c>
      <c r="F56" s="34">
        <f>E56/E$76</f>
        <v>3.6919316789882925E-3</v>
      </c>
      <c r="G56" s="47">
        <v>56</v>
      </c>
      <c r="H56" s="48">
        <v>0</v>
      </c>
      <c r="I56" s="48">
        <v>3783</v>
      </c>
      <c r="J56" s="163">
        <v>2209.6770000000001</v>
      </c>
      <c r="K56" s="50">
        <f>J56/J$76</f>
        <v>3.5346170321993325E-3</v>
      </c>
      <c r="L56" s="189" t="str">
        <f>Translation!$A$433</f>
        <v>non saisi séparément</v>
      </c>
      <c r="M56" s="190"/>
      <c r="N56" s="190"/>
      <c r="O56" s="190"/>
      <c r="P56" s="191"/>
    </row>
    <row r="57" spans="1:16" ht="12.75" hidden="1" customHeight="1" x14ac:dyDescent="0.2">
      <c r="A57" s="115">
        <f>$A$17</f>
        <v>0</v>
      </c>
      <c r="B57" s="33"/>
      <c r="C57" s="8"/>
      <c r="D57" s="8"/>
      <c r="E57" s="153"/>
      <c r="F57" s="34"/>
      <c r="G57" s="47"/>
      <c r="H57" s="48"/>
      <c r="I57" s="48"/>
      <c r="J57" s="163"/>
      <c r="K57" s="50"/>
      <c r="L57" s="129"/>
      <c r="M57" s="130"/>
      <c r="N57" s="130"/>
      <c r="O57" s="170"/>
      <c r="P57" s="132"/>
    </row>
    <row r="58" spans="1:16" ht="12.75" hidden="1" customHeight="1" x14ac:dyDescent="0.2">
      <c r="A58" s="115">
        <f>$A$18</f>
        <v>0</v>
      </c>
      <c r="B58" s="33"/>
      <c r="C58" s="8"/>
      <c r="D58" s="8"/>
      <c r="E58" s="153"/>
      <c r="F58" s="34"/>
      <c r="G58" s="47"/>
      <c r="H58" s="48"/>
      <c r="I58" s="48"/>
      <c r="J58" s="163"/>
      <c r="K58" s="50"/>
      <c r="L58" s="129"/>
      <c r="M58" s="130"/>
      <c r="N58" s="130"/>
      <c r="O58" s="170"/>
      <c r="P58" s="132"/>
    </row>
    <row r="59" spans="1:16" ht="12.75" hidden="1" customHeight="1" x14ac:dyDescent="0.2">
      <c r="A59" s="115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5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5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5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5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5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5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716499.98699999996</v>
      </c>
      <c r="F76" s="67">
        <f t="shared" ref="F76:J76" si="2">SUM(F$52:F$75)</f>
        <v>1</v>
      </c>
      <c r="G76" s="51">
        <f t="shared" si="2"/>
        <v>1847</v>
      </c>
      <c r="H76" s="68">
        <f t="shared" si="2"/>
        <v>3574632</v>
      </c>
      <c r="I76" s="68">
        <f t="shared" si="2"/>
        <v>783627</v>
      </c>
      <c r="J76" s="164">
        <f t="shared" si="2"/>
        <v>625153.15799999994</v>
      </c>
      <c r="K76" s="69">
        <f t="shared" ref="K76:O76" si="3">SUM(K$52:K$75)</f>
        <v>1</v>
      </c>
      <c r="L76" s="133">
        <f t="shared" si="3"/>
        <v>1796</v>
      </c>
      <c r="M76" s="134">
        <f t="shared" si="3"/>
        <v>3315149</v>
      </c>
      <c r="N76" s="134">
        <f t="shared" si="3"/>
        <v>755701</v>
      </c>
      <c r="O76" s="171">
        <f t="shared" si="3"/>
        <v>574134.56392800016</v>
      </c>
      <c r="P76" s="136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institutions de prévoyance avec garantie étatique</v>
      </c>
    </row>
    <row r="92" spans="1:16" x14ac:dyDescent="0.2">
      <c r="A92" s="115" t="str">
        <f>$A$12</f>
        <v>Primauté des cotisations</v>
      </c>
      <c r="B92" s="36">
        <v>21</v>
      </c>
      <c r="C92" s="10">
        <v>85728</v>
      </c>
      <c r="D92" s="10">
        <v>34237</v>
      </c>
      <c r="E92" s="155">
        <v>25288.615000000002</v>
      </c>
      <c r="F92" s="37">
        <f>E92/E$116</f>
        <v>0.23948803499031324</v>
      </c>
      <c r="G92" s="53">
        <v>23</v>
      </c>
      <c r="H92" s="54">
        <v>69413</v>
      </c>
      <c r="I92" s="54">
        <v>28653</v>
      </c>
      <c r="J92" s="165">
        <v>20221.669999999998</v>
      </c>
      <c r="K92" s="56">
        <f>J92/J$116</f>
        <v>0.19251474793946499</v>
      </c>
      <c r="L92" s="137">
        <v>34</v>
      </c>
      <c r="M92" s="138">
        <v>95064</v>
      </c>
      <c r="N92" s="138">
        <v>32990</v>
      </c>
      <c r="O92" s="172">
        <v>23255.384999999998</v>
      </c>
      <c r="P92" s="140">
        <f>O92/O$116</f>
        <v>0.23547443442995039</v>
      </c>
    </row>
    <row r="93" spans="1:16" x14ac:dyDescent="0.2">
      <c r="A93" s="115" t="str">
        <f>$A$13</f>
        <v>Forme mixte</v>
      </c>
      <c r="B93" s="36">
        <v>1</v>
      </c>
      <c r="C93" s="10">
        <v>5081</v>
      </c>
      <c r="D93" s="10">
        <v>3761</v>
      </c>
      <c r="E93" s="155">
        <v>2054.7950000000001</v>
      </c>
      <c r="F93" s="37">
        <f>E93/E$116</f>
        <v>1.9459302807129639E-2</v>
      </c>
      <c r="G93" s="53">
        <v>3</v>
      </c>
      <c r="H93" s="54">
        <v>13333</v>
      </c>
      <c r="I93" s="54">
        <v>7106</v>
      </c>
      <c r="J93" s="165">
        <v>4403.6750000000002</v>
      </c>
      <c r="K93" s="56">
        <f>J93/J$116</f>
        <v>4.192395497663267E-2</v>
      </c>
      <c r="L93" s="137">
        <v>3</v>
      </c>
      <c r="M93" s="138">
        <v>8762</v>
      </c>
      <c r="N93" s="138">
        <v>3583.9999999999995</v>
      </c>
      <c r="O93" s="172">
        <v>2497.1170000000002</v>
      </c>
      <c r="P93" s="140">
        <f>O93/O$116</f>
        <v>2.5284776548761264E-2</v>
      </c>
    </row>
    <row r="94" spans="1:16" x14ac:dyDescent="0.2">
      <c r="A94" s="115" t="str">
        <f>$A$14</f>
        <v>Autre</v>
      </c>
      <c r="B94" s="36">
        <v>0</v>
      </c>
      <c r="C94" s="10">
        <v>0</v>
      </c>
      <c r="D94" s="10">
        <v>0</v>
      </c>
      <c r="E94" s="155">
        <v>0</v>
      </c>
      <c r="F94" s="37">
        <f>E94/E$116</f>
        <v>0</v>
      </c>
      <c r="G94" s="53">
        <v>2</v>
      </c>
      <c r="H94" s="54">
        <v>592</v>
      </c>
      <c r="I94" s="54">
        <v>352</v>
      </c>
      <c r="J94" s="165">
        <v>109.893</v>
      </c>
      <c r="K94" s="56">
        <f>J94/J$116</f>
        <v>1.0462055406557237E-3</v>
      </c>
      <c r="L94" s="137">
        <v>1</v>
      </c>
      <c r="M94" s="138">
        <v>393</v>
      </c>
      <c r="N94" s="138">
        <v>112</v>
      </c>
      <c r="O94" s="172">
        <v>0</v>
      </c>
      <c r="P94" s="140">
        <f>O94/O$116</f>
        <v>0</v>
      </c>
    </row>
    <row r="95" spans="1:16" x14ac:dyDescent="0.2">
      <c r="A95" s="115" t="str">
        <f>$A$15</f>
        <v>Primauté des prestations</v>
      </c>
      <c r="B95" s="36">
        <v>21</v>
      </c>
      <c r="C95" s="10">
        <v>248571</v>
      </c>
      <c r="D95" s="10">
        <v>115914</v>
      </c>
      <c r="E95" s="155">
        <v>78251.072</v>
      </c>
      <c r="F95" s="37">
        <f>E95/E$116</f>
        <v>0.74105266220255717</v>
      </c>
      <c r="G95" s="53">
        <v>30</v>
      </c>
      <c r="H95" s="54">
        <v>274778</v>
      </c>
      <c r="I95" s="54">
        <v>123594</v>
      </c>
      <c r="J95" s="165">
        <v>80304.350999999995</v>
      </c>
      <c r="K95" s="56">
        <f>J95/J$116</f>
        <v>0.76451509154324659</v>
      </c>
      <c r="L95" s="137">
        <v>28</v>
      </c>
      <c r="M95" s="138">
        <v>281130</v>
      </c>
      <c r="N95" s="138">
        <v>118558</v>
      </c>
      <c r="O95" s="172">
        <v>73007.200115</v>
      </c>
      <c r="P95" s="140">
        <f>O95/O$116</f>
        <v>0.73924078902128842</v>
      </c>
    </row>
    <row r="96" spans="1:16" ht="14.25" customHeight="1" x14ac:dyDescent="0.2">
      <c r="A96" s="115" t="str">
        <f>$A$16</f>
        <v>Caisse ne comptant que des rentiers</v>
      </c>
      <c r="B96" s="36">
        <v>0</v>
      </c>
      <c r="C96" s="10">
        <v>0</v>
      </c>
      <c r="D96" s="10">
        <v>0</v>
      </c>
      <c r="E96" s="155">
        <v>0</v>
      </c>
      <c r="F96" s="37">
        <f>E96/E$116</f>
        <v>0</v>
      </c>
      <c r="G96" s="53">
        <v>0</v>
      </c>
      <c r="H96" s="54">
        <v>0</v>
      </c>
      <c r="I96" s="54">
        <v>0</v>
      </c>
      <c r="J96" s="165">
        <v>0</v>
      </c>
      <c r="K96" s="56">
        <f>J96/J$116</f>
        <v>0</v>
      </c>
      <c r="L96" s="192" t="str">
        <f>Translation!$A$433</f>
        <v>non saisi séparément</v>
      </c>
      <c r="M96" s="193"/>
      <c r="N96" s="193"/>
      <c r="O96" s="193"/>
      <c r="P96" s="194"/>
    </row>
    <row r="97" spans="1:16" ht="12.75" hidden="1" customHeight="1" x14ac:dyDescent="0.2">
      <c r="A97" s="115">
        <f>$A$17</f>
        <v>0</v>
      </c>
      <c r="B97" s="36"/>
      <c r="C97" s="10"/>
      <c r="D97" s="10"/>
      <c r="E97" s="155"/>
      <c r="F97" s="37"/>
      <c r="G97" s="53"/>
      <c r="H97" s="54"/>
      <c r="I97" s="54"/>
      <c r="J97" s="165"/>
      <c r="K97" s="56"/>
      <c r="L97" s="137"/>
      <c r="M97" s="138"/>
      <c r="N97" s="138"/>
      <c r="O97" s="172"/>
      <c r="P97" s="140"/>
    </row>
    <row r="98" spans="1:16" ht="12.75" hidden="1" customHeight="1" x14ac:dyDescent="0.2">
      <c r="A98" s="115">
        <f>$A$18</f>
        <v>0</v>
      </c>
      <c r="B98" s="36"/>
      <c r="C98" s="10"/>
      <c r="D98" s="10"/>
      <c r="E98" s="155"/>
      <c r="F98" s="37"/>
      <c r="G98" s="53"/>
      <c r="H98" s="54"/>
      <c r="I98" s="54"/>
      <c r="J98" s="165"/>
      <c r="K98" s="56"/>
      <c r="L98" s="137"/>
      <c r="M98" s="138"/>
      <c r="N98" s="138"/>
      <c r="O98" s="172"/>
      <c r="P98" s="140"/>
    </row>
    <row r="99" spans="1:16" ht="12.75" hidden="1" customHeight="1" x14ac:dyDescent="0.2">
      <c r="A99" s="115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:J116" si="4">SUM(F$92:F$115)</f>
        <v>1</v>
      </c>
      <c r="G116" s="57">
        <f t="shared" si="4"/>
        <v>58</v>
      </c>
      <c r="H116" s="71">
        <f t="shared" si="4"/>
        <v>358116</v>
      </c>
      <c r="I116" s="71">
        <f t="shared" si="4"/>
        <v>159705</v>
      </c>
      <c r="J116" s="166">
        <f t="shared" si="4"/>
        <v>105039.58899999999</v>
      </c>
      <c r="K116" s="72">
        <f t="shared" ref="K116:O116" si="5">SUM(K$92:K$115)</f>
        <v>1</v>
      </c>
      <c r="L116" s="141">
        <f t="shared" si="5"/>
        <v>66</v>
      </c>
      <c r="M116" s="142">
        <f t="shared" si="5"/>
        <v>385349</v>
      </c>
      <c r="N116" s="142">
        <f t="shared" si="5"/>
        <v>155244</v>
      </c>
      <c r="O116" s="173">
        <f t="shared" si="5"/>
        <v>98759.702114999993</v>
      </c>
      <c r="P116" s="144">
        <f>SUM(P$92:P$115)</f>
        <v>1</v>
      </c>
    </row>
    <row r="120" spans="1:16" x14ac:dyDescent="0.2">
      <c r="A120" s="111" t="str">
        <f>Translation!$A$36</f>
        <v>somme du bilan en millions de francs</v>
      </c>
    </row>
  </sheetData>
  <mergeCells count="6">
    <mergeCell ref="L96:P96"/>
    <mergeCell ref="B3:F3"/>
    <mergeCell ref="G3:K3"/>
    <mergeCell ref="L3:P3"/>
    <mergeCell ref="L16:P16"/>
    <mergeCell ref="L56:P56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27" orientation="landscape" cellComments="atEnd" r:id="rId1"/>
  <headerFooter>
    <oddFooter>&amp;L&amp;10&amp;F / &amp;A&amp;C&amp;10&amp;P / &amp;N&amp;R&amp;10OAK BV - RM / 12.05.2015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9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Translation!$A$200</f>
        <v>Augmentation du taux de couverture par année en cas de cotisation d'assainissement équivalent à 1 % de la masse salariale de base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retour à la vue d'ensemble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 t="str">
        <f>Translation!$A$201</f>
        <v>Augmentation du taux de couverture de</v>
      </c>
      <c r="B4" s="28" t="str">
        <f>Translation!$A$40</f>
        <v>Nombre d'IP</v>
      </c>
      <c r="C4" s="19" t="str">
        <f>Translation!$A$41</f>
        <v>Nombre d'assurés actifs</v>
      </c>
      <c r="D4" s="19" t="str">
        <f>Translation!$A$42</f>
        <v>Nombre de rentiers</v>
      </c>
      <c r="E4" s="149" t="str">
        <f>Translation!$A$43</f>
        <v>Somme du bilan</v>
      </c>
      <c r="F4" s="29" t="str">
        <f>Translation!$A$46</f>
        <v>Part de la somme du bilan</v>
      </c>
      <c r="G4" s="28" t="str">
        <f>Translation!$A$40</f>
        <v>Nombre d'IP</v>
      </c>
      <c r="H4" s="19" t="str">
        <f>Translation!$A$41</f>
        <v>Nombre d'assurés actifs</v>
      </c>
      <c r="I4" s="19" t="str">
        <f>Translation!$A$42</f>
        <v>Nombre de rentiers</v>
      </c>
      <c r="J4" s="149" t="str">
        <f>Translation!$A$43</f>
        <v>Somme du bilan</v>
      </c>
      <c r="K4" s="29" t="str">
        <f>Translation!$A$46</f>
        <v>Part de la somme du bilan</v>
      </c>
      <c r="L4" s="28" t="str">
        <f>Translation!$A$40</f>
        <v>Nombre d'IP</v>
      </c>
      <c r="M4" s="73" t="str">
        <f>Translation!$A$41</f>
        <v>Nombre d'assurés actifs</v>
      </c>
      <c r="N4" s="73" t="str">
        <f>Translation!$A$42</f>
        <v>Nombre de rentiers</v>
      </c>
      <c r="O4" s="149" t="str">
        <f>Translation!$A$43</f>
        <v>Somme du bilan</v>
      </c>
      <c r="P4" s="29" t="str">
        <f>Translation!$A$46</f>
        <v>Part de la somme du bilan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toutes les institutions de prévoyance</v>
      </c>
      <c r="E11" s="157"/>
      <c r="J11" s="157"/>
      <c r="O11" s="157"/>
    </row>
    <row r="12" spans="1:16" x14ac:dyDescent="0.2">
      <c r="A12" s="115" t="str">
        <f>Translation!$A202</f>
        <v>De 0,00 à 0,19 %</v>
      </c>
      <c r="B12" s="30">
        <v>301</v>
      </c>
      <c r="C12" s="6">
        <v>626337</v>
      </c>
      <c r="D12" s="6">
        <v>346672</v>
      </c>
      <c r="E12" s="151">
        <v>296878.63500000001</v>
      </c>
      <c r="F12" s="31">
        <f>'25'!E12/'25'!E$36</f>
        <v>0.36112472008372071</v>
      </c>
      <c r="G12" s="41">
        <v>320</v>
      </c>
      <c r="H12" s="42">
        <v>600746</v>
      </c>
      <c r="I12" s="42">
        <v>334026</v>
      </c>
      <c r="J12" s="161">
        <v>267183.11700000003</v>
      </c>
      <c r="K12" s="44">
        <f>'25'!J12/'25'!J$36</f>
        <v>0.36590765670807196</v>
      </c>
      <c r="L12" s="76">
        <v>378</v>
      </c>
      <c r="M12" s="123">
        <v>616165</v>
      </c>
      <c r="N12" s="123">
        <v>332082</v>
      </c>
      <c r="O12" s="168">
        <v>249333.52258000014</v>
      </c>
      <c r="P12" s="125">
        <f>'25'!O12/'25'!O$36</f>
        <v>0.37053893183876069</v>
      </c>
    </row>
    <row r="13" spans="1:16" x14ac:dyDescent="0.2">
      <c r="A13" s="115" t="str">
        <f>Translation!$A203</f>
        <v>De 0,20 à 0,39 %</v>
      </c>
      <c r="B13" s="30">
        <v>561</v>
      </c>
      <c r="C13" s="6">
        <v>942040</v>
      </c>
      <c r="D13" s="6">
        <v>358575</v>
      </c>
      <c r="E13" s="151">
        <v>296655.21500000003</v>
      </c>
      <c r="F13" s="31">
        <f>'25'!E13/'25'!E$36</f>
        <v>0.36085295083039903</v>
      </c>
      <c r="G13" s="41">
        <v>573</v>
      </c>
      <c r="H13" s="42">
        <v>938271</v>
      </c>
      <c r="I13" s="42">
        <v>367635</v>
      </c>
      <c r="J13" s="161">
        <v>288477.01799999998</v>
      </c>
      <c r="K13" s="44">
        <f>'25'!J13/'25'!J$36</f>
        <v>0.39506968425146516</v>
      </c>
      <c r="L13" s="76">
        <v>511</v>
      </c>
      <c r="M13" s="123">
        <v>794966</v>
      </c>
      <c r="N13" s="123">
        <v>308956</v>
      </c>
      <c r="O13" s="168">
        <v>233458.16733799997</v>
      </c>
      <c r="P13" s="125">
        <f>'25'!O13/'25'!O$36</f>
        <v>0.34694628728353771</v>
      </c>
    </row>
    <row r="14" spans="1:16" x14ac:dyDescent="0.2">
      <c r="A14" s="115" t="str">
        <f>Translation!$A204</f>
        <v>De 0,40 à 0,59 %</v>
      </c>
      <c r="B14" s="30">
        <v>402</v>
      </c>
      <c r="C14" s="6">
        <v>497523</v>
      </c>
      <c r="D14" s="6">
        <v>76046</v>
      </c>
      <c r="E14" s="151">
        <v>86715.608999999997</v>
      </c>
      <c r="F14" s="31">
        <f>'25'!E14/'25'!E$36</f>
        <v>0.10548131908183413</v>
      </c>
      <c r="G14" s="41">
        <v>406</v>
      </c>
      <c r="H14" s="42">
        <v>430036</v>
      </c>
      <c r="I14" s="42">
        <v>64230</v>
      </c>
      <c r="J14" s="161">
        <v>69168.072</v>
      </c>
      <c r="K14" s="44">
        <f>'25'!J14/'25'!J$36</f>
        <v>9.4725772454159973E-2</v>
      </c>
      <c r="L14" s="76">
        <v>406</v>
      </c>
      <c r="M14" s="123">
        <v>481300</v>
      </c>
      <c r="N14" s="123">
        <v>85853</v>
      </c>
      <c r="O14" s="168">
        <v>64034.765199000023</v>
      </c>
      <c r="P14" s="125">
        <f>'25'!O14/'25'!O$36</f>
        <v>9.5163190460160627E-2</v>
      </c>
    </row>
    <row r="15" spans="1:16" x14ac:dyDescent="0.2">
      <c r="A15" s="115" t="str">
        <f>Translation!$A205</f>
        <v>De 0,60 à 0,79 %</v>
      </c>
      <c r="B15" s="30">
        <v>238</v>
      </c>
      <c r="C15" s="6">
        <v>514157</v>
      </c>
      <c r="D15" s="6">
        <v>54244</v>
      </c>
      <c r="E15" s="151">
        <v>60218.383000000002</v>
      </c>
      <c r="F15" s="31">
        <f>'25'!E15/'25'!E$36</f>
        <v>7.3249955170298073E-2</v>
      </c>
      <c r="G15" s="41">
        <v>258</v>
      </c>
      <c r="H15" s="42">
        <v>589550</v>
      </c>
      <c r="I15" s="42">
        <v>72735</v>
      </c>
      <c r="J15" s="161">
        <v>56261.067999999999</v>
      </c>
      <c r="K15" s="44">
        <f>'25'!J15/'25'!J$36</f>
        <v>7.7049612216978106E-2</v>
      </c>
      <c r="L15" s="76">
        <v>215</v>
      </c>
      <c r="M15" s="123">
        <v>589522</v>
      </c>
      <c r="N15" s="123">
        <v>72806</v>
      </c>
      <c r="O15" s="168">
        <v>55756.213978000022</v>
      </c>
      <c r="P15" s="125">
        <f>'25'!O15/'25'!O$36</f>
        <v>8.2860289932143685E-2</v>
      </c>
    </row>
    <row r="16" spans="1:16" x14ac:dyDescent="0.2">
      <c r="A16" s="115" t="str">
        <f>Translation!$A206</f>
        <v>De 0,80 à 0,99 %</v>
      </c>
      <c r="B16" s="30">
        <v>137</v>
      </c>
      <c r="C16" s="6">
        <v>935386</v>
      </c>
      <c r="D16" s="6">
        <v>9164</v>
      </c>
      <c r="E16" s="151">
        <v>56120.114000000001</v>
      </c>
      <c r="F16" s="31">
        <f>'25'!E16/'25'!E$36</f>
        <v>6.826479938280669E-2</v>
      </c>
      <c r="G16" s="41">
        <v>126</v>
      </c>
      <c r="H16" s="42">
        <v>349891</v>
      </c>
      <c r="I16" s="42">
        <v>16797</v>
      </c>
      <c r="J16" s="161">
        <v>25325.690999999999</v>
      </c>
      <c r="K16" s="44">
        <f>'25'!J16/'25'!J$36</f>
        <v>3.4683569652055171E-2</v>
      </c>
      <c r="L16" s="76">
        <v>118</v>
      </c>
      <c r="M16" s="123">
        <v>525888</v>
      </c>
      <c r="N16" s="123">
        <v>27380</v>
      </c>
      <c r="O16" s="168">
        <v>46775.255103000025</v>
      </c>
      <c r="P16" s="125">
        <f>'25'!O16/'25'!O$36</f>
        <v>6.951352903936163E-2</v>
      </c>
    </row>
    <row r="17" spans="1:16" ht="12.75" customHeight="1" x14ac:dyDescent="0.2">
      <c r="A17" s="111" t="str">
        <f>Translation!$A207</f>
        <v>1,00 % et plus</v>
      </c>
      <c r="B17" s="30">
        <v>206</v>
      </c>
      <c r="C17" s="6">
        <v>488594</v>
      </c>
      <c r="D17" s="6">
        <v>24117</v>
      </c>
      <c r="E17" s="151">
        <v>25506.512999999999</v>
      </c>
      <c r="F17" s="31">
        <f>'25'!E17/'25'!E$36</f>
        <v>3.1026255450941367E-2</v>
      </c>
      <c r="G17" s="41">
        <v>222</v>
      </c>
      <c r="H17" s="42">
        <v>1024254</v>
      </c>
      <c r="I17" s="42">
        <v>87909</v>
      </c>
      <c r="J17" s="161">
        <v>23777.780999999999</v>
      </c>
      <c r="K17" s="44">
        <f>'25'!J17/'25'!J$36</f>
        <v>3.2563704717269673E-2</v>
      </c>
      <c r="L17" s="76">
        <v>234</v>
      </c>
      <c r="M17" s="123">
        <v>692657</v>
      </c>
      <c r="N17" s="123">
        <v>83868</v>
      </c>
      <c r="O17" s="168">
        <v>23536.341844999988</v>
      </c>
      <c r="P17" s="125">
        <f>'25'!O17/'25'!O$36</f>
        <v>3.4977771446035678E-2</v>
      </c>
    </row>
    <row r="18" spans="1:16" ht="12.75" hidden="1" customHeight="1" x14ac:dyDescent="0.2">
      <c r="B18" s="30"/>
      <c r="C18" s="6"/>
      <c r="D18" s="6"/>
      <c r="E18" s="151"/>
      <c r="F18" s="31"/>
      <c r="G18" s="41"/>
      <c r="H18" s="42"/>
      <c r="I18" s="42"/>
      <c r="J18" s="161"/>
      <c r="K18" s="44"/>
      <c r="L18" s="76"/>
      <c r="M18" s="123"/>
      <c r="N18" s="123"/>
      <c r="O18" s="168"/>
      <c r="P18" s="125"/>
    </row>
    <row r="19" spans="1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1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1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1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1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1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1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1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1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1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1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1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1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1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0">SUM(C$12:C$35)</f>
        <v>4004037</v>
      </c>
      <c r="D36" s="7">
        <f t="shared" si="0"/>
        <v>868818</v>
      </c>
      <c r="E36" s="152">
        <f t="shared" si="0"/>
        <v>822094.46900000004</v>
      </c>
      <c r="F36" s="64">
        <f>SUM(F$12:F$35)</f>
        <v>1</v>
      </c>
      <c r="G36" s="45">
        <f t="shared" ref="G36:J36" si="1">SUM(G$12:G$35)</f>
        <v>1905</v>
      </c>
      <c r="H36" s="65">
        <f t="shared" si="1"/>
        <v>3932748</v>
      </c>
      <c r="I36" s="65">
        <f t="shared" si="1"/>
        <v>943332</v>
      </c>
      <c r="J36" s="162">
        <f t="shared" si="1"/>
        <v>730192.74699999997</v>
      </c>
      <c r="K36" s="66">
        <f t="shared" ref="K36:O36" si="2">SUM(K$12:K$35)</f>
        <v>1</v>
      </c>
      <c r="L36" s="77">
        <f t="shared" si="2"/>
        <v>1862</v>
      </c>
      <c r="M36" s="126">
        <f t="shared" si="2"/>
        <v>3700498</v>
      </c>
      <c r="N36" s="126">
        <f t="shared" si="2"/>
        <v>910945</v>
      </c>
      <c r="O36" s="169">
        <f t="shared" si="2"/>
        <v>672894.26604300016</v>
      </c>
      <c r="P36" s="128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institutions de prévoyance sans garantie étatique</v>
      </c>
      <c r="E51" s="157"/>
      <c r="J51" s="157"/>
      <c r="O51" s="157"/>
    </row>
    <row r="52" spans="1:16" x14ac:dyDescent="0.2">
      <c r="A52" s="115" t="str">
        <f>$A$12</f>
        <v>De 0,00 à 0,19 %</v>
      </c>
      <c r="B52" s="33">
        <v>285</v>
      </c>
      <c r="C52" s="8">
        <v>505995</v>
      </c>
      <c r="D52" s="8">
        <v>284235</v>
      </c>
      <c r="E52" s="153">
        <v>249840.467</v>
      </c>
      <c r="F52" s="34">
        <f>'25'!E52/'25'!E$76</f>
        <v>0.34869570346551876</v>
      </c>
      <c r="G52" s="47">
        <v>302</v>
      </c>
      <c r="H52" s="48">
        <v>463138</v>
      </c>
      <c r="I52" s="48">
        <v>261751</v>
      </c>
      <c r="J52" s="163">
        <v>219262.01300000001</v>
      </c>
      <c r="K52" s="50">
        <f>'25'!J52/'25'!J$76</f>
        <v>0.350733272629489</v>
      </c>
      <c r="L52" s="129">
        <v>359</v>
      </c>
      <c r="M52" s="130">
        <v>486553</v>
      </c>
      <c r="N52" s="130">
        <v>269773</v>
      </c>
      <c r="O52" s="170">
        <v>208206.39846500012</v>
      </c>
      <c r="P52" s="132">
        <f>'25'!O52/'25'!O$76</f>
        <v>0.36264390187647788</v>
      </c>
    </row>
    <row r="53" spans="1:16" x14ac:dyDescent="0.2">
      <c r="A53" s="115" t="str">
        <f>$A$13</f>
        <v>De 0,20 à 0,39 %</v>
      </c>
      <c r="B53" s="33">
        <v>535</v>
      </c>
      <c r="C53" s="8">
        <v>723392</v>
      </c>
      <c r="D53" s="8">
        <v>267208</v>
      </c>
      <c r="E53" s="153">
        <v>238125.905</v>
      </c>
      <c r="F53" s="34">
        <f>'25'!E53/'25'!E$76</f>
        <v>0.33234600044731061</v>
      </c>
      <c r="G53" s="47">
        <v>535</v>
      </c>
      <c r="H53" s="48">
        <v>718218</v>
      </c>
      <c r="I53" s="48">
        <v>280327</v>
      </c>
      <c r="J53" s="163">
        <v>231364.16699999999</v>
      </c>
      <c r="K53" s="50">
        <f>'25'!J53/'25'!J$76</f>
        <v>0.37009197512523806</v>
      </c>
      <c r="L53" s="129">
        <v>473</v>
      </c>
      <c r="M53" s="130">
        <v>573951</v>
      </c>
      <c r="N53" s="130">
        <v>223879.99999999997</v>
      </c>
      <c r="O53" s="170">
        <v>181831.60333799996</v>
      </c>
      <c r="P53" s="132">
        <f>'25'!O53/'25'!O$76</f>
        <v>0.31670555086246766</v>
      </c>
    </row>
    <row r="54" spans="1:16" x14ac:dyDescent="0.2">
      <c r="A54" s="115" t="str">
        <f>$A$14</f>
        <v>De 0,40 à 0,59 %</v>
      </c>
      <c r="B54" s="33">
        <v>402</v>
      </c>
      <c r="C54" s="8">
        <v>497523</v>
      </c>
      <c r="D54" s="8">
        <v>76046</v>
      </c>
      <c r="E54" s="153">
        <v>86715.608999999997</v>
      </c>
      <c r="F54" s="34">
        <f>'25'!E54/'25'!E$76</f>
        <v>0.12102667211911619</v>
      </c>
      <c r="G54" s="47">
        <v>406</v>
      </c>
      <c r="H54" s="48">
        <v>430036</v>
      </c>
      <c r="I54" s="48">
        <v>64230</v>
      </c>
      <c r="J54" s="163">
        <v>69168.072</v>
      </c>
      <c r="K54" s="50">
        <f>'25'!J54/'25'!J$76</f>
        <v>0.11064180211659429</v>
      </c>
      <c r="L54" s="129">
        <v>403</v>
      </c>
      <c r="M54" s="130">
        <v>473051</v>
      </c>
      <c r="N54" s="130">
        <v>84761</v>
      </c>
      <c r="O54" s="170">
        <v>63275.282199000023</v>
      </c>
      <c r="P54" s="132">
        <f>'25'!O54/'25'!O$76</f>
        <v>0.11020984656644904</v>
      </c>
    </row>
    <row r="55" spans="1:16" x14ac:dyDescent="0.2">
      <c r="A55" s="115" t="str">
        <f>$A$15</f>
        <v>De 0,60 à 0,79 %</v>
      </c>
      <c r="B55" s="33">
        <v>238</v>
      </c>
      <c r="C55" s="8">
        <v>514157</v>
      </c>
      <c r="D55" s="8">
        <v>54244</v>
      </c>
      <c r="E55" s="153">
        <v>60218.383000000002</v>
      </c>
      <c r="F55" s="34">
        <f>'25'!E55/'25'!E$76</f>
        <v>8.404519761700989E-2</v>
      </c>
      <c r="G55" s="47">
        <v>257</v>
      </c>
      <c r="H55" s="48">
        <v>589491</v>
      </c>
      <c r="I55" s="48">
        <v>72715</v>
      </c>
      <c r="J55" s="163">
        <v>56255.434999999998</v>
      </c>
      <c r="K55" s="50">
        <f>'25'!J55/'25'!J$76</f>
        <v>8.9986644520797576E-2</v>
      </c>
      <c r="L55" s="129">
        <v>212</v>
      </c>
      <c r="M55" s="130">
        <v>573762</v>
      </c>
      <c r="N55" s="130">
        <v>67922</v>
      </c>
      <c r="O55" s="170">
        <v>51713.20397800002</v>
      </c>
      <c r="P55" s="132">
        <f>'25'!O55/'25'!O$76</f>
        <v>9.0071574204135807E-2</v>
      </c>
    </row>
    <row r="56" spans="1:16" x14ac:dyDescent="0.2">
      <c r="A56" s="115" t="str">
        <f>$A$16</f>
        <v>De 0,80 à 0,99 %</v>
      </c>
      <c r="B56" s="33">
        <v>137</v>
      </c>
      <c r="C56" s="8">
        <v>935386</v>
      </c>
      <c r="D56" s="8">
        <v>9164</v>
      </c>
      <c r="E56" s="153">
        <v>56120.114000000001</v>
      </c>
      <c r="F56" s="34">
        <f>'25'!E56/'25'!E$76</f>
        <v>7.8325352432979195E-2</v>
      </c>
      <c r="G56" s="47">
        <v>126</v>
      </c>
      <c r="H56" s="48">
        <v>349891</v>
      </c>
      <c r="I56" s="48">
        <v>16797</v>
      </c>
      <c r="J56" s="163">
        <v>25325.690999999999</v>
      </c>
      <c r="K56" s="50">
        <f>'25'!J56/'25'!J$76</f>
        <v>4.0511178222345318E-2</v>
      </c>
      <c r="L56" s="129">
        <v>117</v>
      </c>
      <c r="M56" s="130">
        <v>515573</v>
      </c>
      <c r="N56" s="130">
        <v>25618</v>
      </c>
      <c r="O56" s="170">
        <v>45575.096103000025</v>
      </c>
      <c r="P56" s="132">
        <f>'25'!O56/'25'!O$76</f>
        <v>7.9380512803816167E-2</v>
      </c>
    </row>
    <row r="57" spans="1:16" ht="12.75" customHeight="1" x14ac:dyDescent="0.2">
      <c r="A57" s="115" t="str">
        <f>$A$17</f>
        <v>1,00 % et plus</v>
      </c>
      <c r="B57" s="33">
        <v>205</v>
      </c>
      <c r="C57" s="8">
        <v>488204</v>
      </c>
      <c r="D57" s="8">
        <v>24009</v>
      </c>
      <c r="E57" s="153">
        <v>25479.508999999998</v>
      </c>
      <c r="F57" s="34">
        <f>'25'!E57/'25'!E$76</f>
        <v>3.5561073918065546E-2</v>
      </c>
      <c r="G57" s="47">
        <v>221</v>
      </c>
      <c r="H57" s="48">
        <v>1023858</v>
      </c>
      <c r="I57" s="48">
        <v>87807</v>
      </c>
      <c r="J57" s="163">
        <v>23777.78</v>
      </c>
      <c r="K57" s="50">
        <f>'25'!J57/'25'!J$76</f>
        <v>3.803512738553582E-2</v>
      </c>
      <c r="L57" s="129">
        <v>232</v>
      </c>
      <c r="M57" s="130">
        <v>692259</v>
      </c>
      <c r="N57" s="130">
        <v>83747</v>
      </c>
      <c r="O57" s="170">
        <v>23532.979844999987</v>
      </c>
      <c r="P57" s="132">
        <f>'25'!O57/'25'!O$76</f>
        <v>4.0988613686653359E-2</v>
      </c>
    </row>
    <row r="58" spans="1:16" ht="12.75" hidden="1" customHeight="1" x14ac:dyDescent="0.2">
      <c r="A58" s="115">
        <f>$A$18</f>
        <v>0</v>
      </c>
      <c r="B58" s="33"/>
      <c r="C58" s="8"/>
      <c r="D58" s="8"/>
      <c r="E58" s="153"/>
      <c r="F58" s="34"/>
      <c r="G58" s="47"/>
      <c r="H58" s="48"/>
      <c r="I58" s="48"/>
      <c r="J58" s="163"/>
      <c r="K58" s="50"/>
      <c r="L58" s="129"/>
      <c r="M58" s="130"/>
      <c r="N58" s="130"/>
      <c r="O58" s="170"/>
      <c r="P58" s="132"/>
    </row>
    <row r="59" spans="1:16" ht="12.75" hidden="1" customHeight="1" x14ac:dyDescent="0.2">
      <c r="A59" s="115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5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5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5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5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5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5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716499.98699999985</v>
      </c>
      <c r="F76" s="67">
        <f t="shared" ref="F76:J76" si="3">SUM(F$52:F$75)</f>
        <v>1.0000000000000002</v>
      </c>
      <c r="G76" s="51">
        <f t="shared" si="3"/>
        <v>1847</v>
      </c>
      <c r="H76" s="68">
        <f t="shared" si="3"/>
        <v>3574632</v>
      </c>
      <c r="I76" s="68">
        <f t="shared" si="3"/>
        <v>783627</v>
      </c>
      <c r="J76" s="164">
        <f t="shared" si="3"/>
        <v>625153.15799999994</v>
      </c>
      <c r="K76" s="69">
        <f t="shared" ref="K76:O76" si="4">SUM(K$52:K$75)</f>
        <v>0.99999999999999989</v>
      </c>
      <c r="L76" s="133">
        <f t="shared" si="4"/>
        <v>1796</v>
      </c>
      <c r="M76" s="134">
        <f t="shared" si="4"/>
        <v>3315149</v>
      </c>
      <c r="N76" s="134">
        <f t="shared" si="4"/>
        <v>755701</v>
      </c>
      <c r="O76" s="171">
        <f t="shared" si="4"/>
        <v>574134.56392800016</v>
      </c>
      <c r="P76" s="136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institutions de prévoyance avec garantie étatique</v>
      </c>
      <c r="E91" s="157"/>
      <c r="J91" s="157"/>
      <c r="O91" s="157"/>
    </row>
    <row r="92" spans="1:16" x14ac:dyDescent="0.2">
      <c r="A92" s="115" t="str">
        <f>$A$12</f>
        <v>De 0,00 à 0,19 %</v>
      </c>
      <c r="B92" s="36">
        <v>16</v>
      </c>
      <c r="C92" s="10">
        <v>120342</v>
      </c>
      <c r="D92" s="10">
        <v>62437</v>
      </c>
      <c r="E92" s="155">
        <v>47038.167999999998</v>
      </c>
      <c r="F92" s="37">
        <f>'25'!E92/'25'!E$116</f>
        <v>0.44546047396681199</v>
      </c>
      <c r="G92" s="53">
        <v>18</v>
      </c>
      <c r="H92" s="54">
        <v>137608</v>
      </c>
      <c r="I92" s="54">
        <v>72275</v>
      </c>
      <c r="J92" s="165">
        <v>47921.103999999999</v>
      </c>
      <c r="K92" s="56">
        <f>'25'!J92/'25'!J$116</f>
        <v>0.45621945455251156</v>
      </c>
      <c r="L92" s="137">
        <v>19</v>
      </c>
      <c r="M92" s="138">
        <v>129612</v>
      </c>
      <c r="N92" s="138">
        <v>62309</v>
      </c>
      <c r="O92" s="172">
        <v>41127.124115000006</v>
      </c>
      <c r="P92" s="140">
        <f>'25'!O92/'25'!O$116</f>
        <v>0.41643629166792989</v>
      </c>
    </row>
    <row r="93" spans="1:16" x14ac:dyDescent="0.2">
      <c r="A93" s="115" t="str">
        <f>$A$13</f>
        <v>De 0,20 à 0,39 %</v>
      </c>
      <c r="B93" s="36">
        <v>26</v>
      </c>
      <c r="C93" s="10">
        <v>218648</v>
      </c>
      <c r="D93" s="10">
        <v>91367</v>
      </c>
      <c r="E93" s="155">
        <v>58529.31</v>
      </c>
      <c r="F93" s="37">
        <f>'25'!E93/'25'!E$116</f>
        <v>0.55428379297319719</v>
      </c>
      <c r="G93" s="53">
        <v>38</v>
      </c>
      <c r="H93" s="54">
        <v>220053</v>
      </c>
      <c r="I93" s="54">
        <v>87308</v>
      </c>
      <c r="J93" s="165">
        <v>57112.851000000002</v>
      </c>
      <c r="K93" s="56">
        <f>'25'!J93/'25'!J$116</f>
        <v>0.54372690852779326</v>
      </c>
      <c r="L93" s="137">
        <v>38</v>
      </c>
      <c r="M93" s="138">
        <v>221015</v>
      </c>
      <c r="N93" s="138">
        <v>85076</v>
      </c>
      <c r="O93" s="172">
        <v>51626.563999999998</v>
      </c>
      <c r="P93" s="140">
        <f>'25'!O93/'25'!O$116</f>
        <v>0.52274928836747447</v>
      </c>
    </row>
    <row r="94" spans="1:16" x14ac:dyDescent="0.2">
      <c r="A94" s="115" t="str">
        <f>$A$14</f>
        <v>De 0,40 à 0,59 %</v>
      </c>
      <c r="B94" s="36">
        <v>0</v>
      </c>
      <c r="C94" s="10">
        <v>0</v>
      </c>
      <c r="D94" s="10">
        <v>0</v>
      </c>
      <c r="E94" s="155">
        <v>0</v>
      </c>
      <c r="F94" s="37">
        <f>'25'!E94/'25'!E$116</f>
        <v>0</v>
      </c>
      <c r="G94" s="53">
        <v>0</v>
      </c>
      <c r="H94" s="54">
        <v>0</v>
      </c>
      <c r="I94" s="54">
        <v>0</v>
      </c>
      <c r="J94" s="165">
        <v>0</v>
      </c>
      <c r="K94" s="56">
        <f>'25'!J94/'25'!J$116</f>
        <v>0</v>
      </c>
      <c r="L94" s="137">
        <v>3</v>
      </c>
      <c r="M94" s="138">
        <v>8249</v>
      </c>
      <c r="N94" s="138">
        <v>1092</v>
      </c>
      <c r="O94" s="172">
        <v>759.48299999999995</v>
      </c>
      <c r="P94" s="140">
        <f>'25'!O94/'25'!O$116</f>
        <v>7.6902115309706561E-3</v>
      </c>
    </row>
    <row r="95" spans="1:16" x14ac:dyDescent="0.2">
      <c r="A95" s="115" t="str">
        <f>$A$15</f>
        <v>De 0,60 à 0,79 %</v>
      </c>
      <c r="B95" s="36">
        <v>0</v>
      </c>
      <c r="C95" s="10">
        <v>0</v>
      </c>
      <c r="D95" s="10">
        <v>0</v>
      </c>
      <c r="E95" s="155">
        <v>0</v>
      </c>
      <c r="F95" s="37">
        <f>'25'!E95/'25'!E$116</f>
        <v>0</v>
      </c>
      <c r="G95" s="53">
        <v>1</v>
      </c>
      <c r="H95" s="54">
        <v>59</v>
      </c>
      <c r="I95" s="54">
        <v>20</v>
      </c>
      <c r="J95" s="165">
        <v>5.633</v>
      </c>
      <c r="K95" s="56">
        <f>'25'!J95/'25'!J$116</f>
        <v>5.3627399475068394E-5</v>
      </c>
      <c r="L95" s="137">
        <v>3</v>
      </c>
      <c r="M95" s="138">
        <v>15760</v>
      </c>
      <c r="N95" s="138">
        <v>4884</v>
      </c>
      <c r="O95" s="172">
        <v>4043.0099999999998</v>
      </c>
      <c r="P95" s="140">
        <f>'25'!O95/'25'!O$116</f>
        <v>4.0937851303886559E-2</v>
      </c>
    </row>
    <row r="96" spans="1:16" x14ac:dyDescent="0.2">
      <c r="A96" s="115" t="str">
        <f>$A$16</f>
        <v>De 0,80 à 0,99 %</v>
      </c>
      <c r="B96" s="36">
        <v>0</v>
      </c>
      <c r="C96" s="10">
        <v>0</v>
      </c>
      <c r="D96" s="10">
        <v>0</v>
      </c>
      <c r="E96" s="155">
        <v>0</v>
      </c>
      <c r="F96" s="37">
        <f>'25'!E96/'25'!E$116</f>
        <v>0</v>
      </c>
      <c r="G96" s="53">
        <v>0</v>
      </c>
      <c r="H96" s="54">
        <v>0</v>
      </c>
      <c r="I96" s="54">
        <v>0</v>
      </c>
      <c r="J96" s="165">
        <v>0</v>
      </c>
      <c r="K96" s="56">
        <f>'25'!J96/'25'!J$116</f>
        <v>0</v>
      </c>
      <c r="L96" s="137">
        <v>1</v>
      </c>
      <c r="M96" s="138">
        <v>10315</v>
      </c>
      <c r="N96" s="138">
        <v>1762.0000000000002</v>
      </c>
      <c r="O96" s="172">
        <v>1200.1590000000001</v>
      </c>
      <c r="P96" s="140">
        <f>'25'!O96/'25'!O$116</f>
        <v>1.215231490474206E-2</v>
      </c>
    </row>
    <row r="97" spans="1:16" ht="12.75" customHeight="1" x14ac:dyDescent="0.2">
      <c r="A97" s="115" t="str">
        <f>$A$17</f>
        <v>1,00 % et plus</v>
      </c>
      <c r="B97" s="36">
        <v>1</v>
      </c>
      <c r="C97" s="10">
        <v>390</v>
      </c>
      <c r="D97" s="10">
        <v>108</v>
      </c>
      <c r="E97" s="155">
        <v>27.004000000000001</v>
      </c>
      <c r="F97" s="37">
        <f>'25'!E97/'25'!E$116</f>
        <v>2.557330599907673E-4</v>
      </c>
      <c r="G97" s="53">
        <v>1</v>
      </c>
      <c r="H97" s="54">
        <v>396</v>
      </c>
      <c r="I97" s="54">
        <v>102</v>
      </c>
      <c r="J97" s="165">
        <v>1E-3</v>
      </c>
      <c r="K97" s="56">
        <f>'25'!J97/'25'!J$116</f>
        <v>9.5202200381800804E-9</v>
      </c>
      <c r="L97" s="137">
        <v>2</v>
      </c>
      <c r="M97" s="138">
        <v>398</v>
      </c>
      <c r="N97" s="138">
        <v>121</v>
      </c>
      <c r="O97" s="172">
        <v>3.3620000000000001</v>
      </c>
      <c r="P97" s="140">
        <f>'25'!O97/'25'!O$116</f>
        <v>3.404222499664028E-5</v>
      </c>
    </row>
    <row r="98" spans="1:16" ht="12.75" hidden="1" customHeight="1" x14ac:dyDescent="0.2">
      <c r="A98" s="115">
        <f>$A$18</f>
        <v>0</v>
      </c>
      <c r="B98" s="36"/>
      <c r="C98" s="10"/>
      <c r="D98" s="10"/>
      <c r="E98" s="155"/>
      <c r="F98" s="37"/>
      <c r="G98" s="53"/>
      <c r="H98" s="54"/>
      <c r="I98" s="54"/>
      <c r="J98" s="165"/>
      <c r="K98" s="56"/>
      <c r="L98" s="137"/>
      <c r="M98" s="138"/>
      <c r="N98" s="138"/>
      <c r="O98" s="172"/>
      <c r="P98" s="140"/>
    </row>
    <row r="99" spans="1:16" ht="12.75" hidden="1" customHeight="1" x14ac:dyDescent="0.2">
      <c r="A99" s="115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:J116" si="5">SUM(F$92:F$115)</f>
        <v>0.99999999999999989</v>
      </c>
      <c r="G116" s="57">
        <f t="shared" si="5"/>
        <v>58</v>
      </c>
      <c r="H116" s="71">
        <f t="shared" si="5"/>
        <v>358116</v>
      </c>
      <c r="I116" s="71">
        <f t="shared" si="5"/>
        <v>159705</v>
      </c>
      <c r="J116" s="166">
        <f t="shared" si="5"/>
        <v>105039.58900000001</v>
      </c>
      <c r="K116" s="72">
        <f t="shared" ref="K116:O116" si="6">SUM(K$92:K$115)</f>
        <v>1</v>
      </c>
      <c r="L116" s="141">
        <f t="shared" si="6"/>
        <v>66</v>
      </c>
      <c r="M116" s="142">
        <f t="shared" si="6"/>
        <v>385349</v>
      </c>
      <c r="N116" s="142">
        <f t="shared" si="6"/>
        <v>155244</v>
      </c>
      <c r="O116" s="173">
        <f t="shared" si="6"/>
        <v>98759.702114999978</v>
      </c>
      <c r="P116" s="144">
        <f>SUM(P$92:P$115)</f>
        <v>1.0000000000000002</v>
      </c>
    </row>
    <row r="120" spans="1:16" x14ac:dyDescent="0.2">
      <c r="A120" s="111" t="str">
        <f>Translation!$A$36</f>
        <v>somme du bilan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">
    <pageSetUpPr fitToPage="1"/>
  </sheetPr>
  <dimension ref="A1:O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9" width="11" style="1"/>
    <col min="10" max="10" width="11" style="167"/>
    <col min="11" max="14" width="11" style="1"/>
    <col min="15" max="15" width="11" style="167"/>
    <col min="16" max="16384" width="11" style="1"/>
  </cols>
  <sheetData>
    <row r="1" spans="1:15" s="22" customFormat="1" ht="18" x14ac:dyDescent="0.25">
      <c r="A1" s="109" t="str">
        <f>Translation!$A$208</f>
        <v>Part des avoirs de vieillesse LPP</v>
      </c>
      <c r="B1" s="21"/>
      <c r="E1" s="147"/>
      <c r="F1" s="24"/>
      <c r="J1" s="158"/>
      <c r="O1" s="158"/>
    </row>
    <row r="2" spans="1:15" s="18" customFormat="1" x14ac:dyDescent="0.2">
      <c r="A2" s="110" t="str">
        <f>Translation!$A$27</f>
        <v>retour à la vue d'ensemble</v>
      </c>
      <c r="B2" s="25"/>
      <c r="E2" s="148"/>
      <c r="F2" s="27"/>
      <c r="J2" s="159"/>
      <c r="O2" s="159"/>
    </row>
    <row r="3" spans="1:15" s="18" customFormat="1" ht="15.75" x14ac:dyDescent="0.25">
      <c r="A3" s="111"/>
      <c r="B3" s="177">
        <v>2014</v>
      </c>
      <c r="C3" s="178"/>
      <c r="D3" s="178"/>
      <c r="E3" s="178"/>
      <c r="F3" s="179"/>
      <c r="J3" s="159"/>
      <c r="O3" s="159"/>
    </row>
    <row r="4" spans="1:15" s="18" customFormat="1" ht="38.25" x14ac:dyDescent="0.2">
      <c r="A4" s="112"/>
      <c r="B4" s="28" t="str">
        <f>Translation!$A$40</f>
        <v>Nombre d'IP</v>
      </c>
      <c r="C4" s="19" t="str">
        <f>Translation!$A$41</f>
        <v>Nombre d'assurés actifs</v>
      </c>
      <c r="D4" s="19" t="str">
        <f>Translation!$A$42</f>
        <v>Nombre de rentiers</v>
      </c>
      <c r="E4" s="149" t="str">
        <f>Translation!$A$43</f>
        <v>Somme du bilan</v>
      </c>
      <c r="F4" s="29" t="str">
        <f>Translation!$A$46</f>
        <v>Part de la somme du bilan</v>
      </c>
      <c r="J4" s="159"/>
      <c r="O4" s="159"/>
    </row>
    <row r="5" spans="1:15" s="60" customFormat="1" ht="13.5" thickBot="1" x14ac:dyDescent="0.25">
      <c r="A5" s="113"/>
      <c r="B5" s="59"/>
      <c r="E5" s="150"/>
      <c r="F5" s="62"/>
      <c r="J5" s="160"/>
      <c r="O5" s="160"/>
    </row>
    <row r="7" spans="1:15" ht="12.75" hidden="1" customHeight="1" x14ac:dyDescent="0.2"/>
    <row r="8" spans="1:15" ht="12.75" hidden="1" customHeight="1" x14ac:dyDescent="0.2"/>
    <row r="9" spans="1:15" ht="12.75" hidden="1" customHeight="1" x14ac:dyDescent="0.2"/>
    <row r="11" spans="1:15" x14ac:dyDescent="0.2">
      <c r="A11" s="114" t="str">
        <f>Translation!$A$28</f>
        <v>toutes les institutions de prévoyance</v>
      </c>
      <c r="E11" s="157"/>
    </row>
    <row r="12" spans="1:15" x14ac:dyDescent="0.2">
      <c r="A12" s="115" t="str">
        <f>Translation!$A232</f>
        <v>Non défini</v>
      </c>
      <c r="B12" s="30">
        <v>88</v>
      </c>
      <c r="C12" s="6">
        <v>1199</v>
      </c>
      <c r="D12" s="6">
        <v>7839</v>
      </c>
      <c r="E12" s="151">
        <v>4722.17</v>
      </c>
      <c r="F12" s="31">
        <f t="shared" ref="F12:F18" si="0">E12/E$36</f>
        <v>5.744072218055514E-3</v>
      </c>
    </row>
    <row r="13" spans="1:15" x14ac:dyDescent="0.2">
      <c r="A13" s="115" t="str">
        <f>Translation!$A233</f>
        <v>Moins de 20 %</v>
      </c>
      <c r="B13" s="30">
        <v>379</v>
      </c>
      <c r="C13" s="6">
        <v>227473</v>
      </c>
      <c r="D13" s="6">
        <v>36514</v>
      </c>
      <c r="E13" s="151">
        <v>62061.38</v>
      </c>
      <c r="F13" s="31">
        <f t="shared" si="0"/>
        <v>7.5491786333864747E-2</v>
      </c>
    </row>
    <row r="14" spans="1:15" x14ac:dyDescent="0.2">
      <c r="A14" s="115" t="str">
        <f>Translation!$A234</f>
        <v>De 20 à 39 %</v>
      </c>
      <c r="B14" s="30">
        <v>280</v>
      </c>
      <c r="C14" s="6">
        <v>745169</v>
      </c>
      <c r="D14" s="6">
        <v>321871</v>
      </c>
      <c r="E14" s="151">
        <v>324679.49</v>
      </c>
      <c r="F14" s="31">
        <f t="shared" si="0"/>
        <v>0.39494182511036935</v>
      </c>
    </row>
    <row r="15" spans="1:15" x14ac:dyDescent="0.2">
      <c r="A15" s="115" t="str">
        <f>Translation!$A235</f>
        <v>De 40 à 59 %</v>
      </c>
      <c r="B15" s="30">
        <v>597</v>
      </c>
      <c r="C15" s="6">
        <v>2113205</v>
      </c>
      <c r="D15" s="6">
        <v>400964</v>
      </c>
      <c r="E15" s="151">
        <v>350844.31199999998</v>
      </c>
      <c r="F15" s="31">
        <f t="shared" si="0"/>
        <v>0.42676885106254125</v>
      </c>
    </row>
    <row r="16" spans="1:15" x14ac:dyDescent="0.2">
      <c r="A16" s="115" t="str">
        <f>Translation!$A236</f>
        <v>De 60 à 79 %</v>
      </c>
      <c r="B16" s="30">
        <v>386</v>
      </c>
      <c r="C16" s="6">
        <v>585384</v>
      </c>
      <c r="D16" s="6">
        <v>72148</v>
      </c>
      <c r="E16" s="151">
        <v>64515.327000000005</v>
      </c>
      <c r="F16" s="31">
        <f t="shared" si="0"/>
        <v>7.8476780264045295E-2</v>
      </c>
    </row>
    <row r="17" spans="1:6" ht="12.75" customHeight="1" x14ac:dyDescent="0.2">
      <c r="A17" s="111" t="str">
        <f>Translation!$A237</f>
        <v>De 80 à 99 %</v>
      </c>
      <c r="B17" s="30">
        <v>76</v>
      </c>
      <c r="C17" s="6">
        <v>324295</v>
      </c>
      <c r="D17" s="6">
        <v>27516</v>
      </c>
      <c r="E17" s="151">
        <v>14217.850999999999</v>
      </c>
      <c r="F17" s="31">
        <f t="shared" si="0"/>
        <v>1.7294668114352679E-2</v>
      </c>
    </row>
    <row r="18" spans="1:6" ht="12.75" customHeight="1" x14ac:dyDescent="0.2">
      <c r="A18" s="111" t="str">
        <f>Translation!$A238</f>
        <v>100 %</v>
      </c>
      <c r="B18" s="30">
        <v>39</v>
      </c>
      <c r="C18" s="6">
        <v>7312</v>
      </c>
      <c r="D18" s="6">
        <v>1966</v>
      </c>
      <c r="E18" s="151">
        <v>1053.9390000000001</v>
      </c>
      <c r="F18" s="31">
        <f t="shared" si="0"/>
        <v>1.2820168967710207E-3</v>
      </c>
    </row>
    <row r="19" spans="1:6" ht="12.75" hidden="1" customHeight="1" x14ac:dyDescent="0.2">
      <c r="B19" s="30"/>
      <c r="C19" s="6"/>
      <c r="D19" s="6"/>
      <c r="E19" s="151"/>
      <c r="F19" s="31"/>
    </row>
    <row r="20" spans="1:6" ht="12.75" hidden="1" customHeight="1" x14ac:dyDescent="0.2">
      <c r="B20" s="30"/>
      <c r="C20" s="6"/>
      <c r="D20" s="6"/>
      <c r="E20" s="151"/>
      <c r="F20" s="31"/>
    </row>
    <row r="21" spans="1:6" ht="12.75" hidden="1" customHeight="1" x14ac:dyDescent="0.2">
      <c r="B21" s="30"/>
      <c r="C21" s="6"/>
      <c r="D21" s="6"/>
      <c r="E21" s="151"/>
      <c r="F21" s="31"/>
    </row>
    <row r="22" spans="1:6" ht="12.75" hidden="1" customHeight="1" x14ac:dyDescent="0.2">
      <c r="B22" s="30"/>
      <c r="C22" s="6"/>
      <c r="D22" s="6"/>
      <c r="E22" s="151"/>
      <c r="F22" s="31"/>
    </row>
    <row r="23" spans="1:6" ht="12.75" hidden="1" customHeight="1" x14ac:dyDescent="0.2">
      <c r="B23" s="30"/>
      <c r="C23" s="6"/>
      <c r="D23" s="6"/>
      <c r="E23" s="151"/>
      <c r="F23" s="31"/>
    </row>
    <row r="24" spans="1:6" ht="12.75" hidden="1" customHeight="1" x14ac:dyDescent="0.2">
      <c r="B24" s="30"/>
      <c r="C24" s="6"/>
      <c r="D24" s="6"/>
      <c r="E24" s="151"/>
      <c r="F24" s="31"/>
    </row>
    <row r="25" spans="1:6" ht="12.75" hidden="1" customHeight="1" x14ac:dyDescent="0.2">
      <c r="B25" s="30"/>
      <c r="C25" s="6"/>
      <c r="D25" s="6"/>
      <c r="E25" s="151"/>
      <c r="F25" s="31"/>
    </row>
    <row r="26" spans="1:6" ht="12.75" hidden="1" customHeight="1" x14ac:dyDescent="0.2">
      <c r="B26" s="30"/>
      <c r="C26" s="6"/>
      <c r="D26" s="6"/>
      <c r="E26" s="151"/>
      <c r="F26" s="31"/>
    </row>
    <row r="27" spans="1:6" ht="12.75" hidden="1" customHeight="1" x14ac:dyDescent="0.2">
      <c r="B27" s="30"/>
      <c r="C27" s="6"/>
      <c r="D27" s="6"/>
      <c r="E27" s="151"/>
      <c r="F27" s="31"/>
    </row>
    <row r="28" spans="1:6" ht="12.75" hidden="1" customHeight="1" x14ac:dyDescent="0.2">
      <c r="B28" s="30"/>
      <c r="C28" s="6"/>
      <c r="D28" s="6"/>
      <c r="E28" s="151"/>
      <c r="F28" s="31"/>
    </row>
    <row r="29" spans="1:6" ht="12.75" hidden="1" customHeight="1" x14ac:dyDescent="0.2">
      <c r="B29" s="30"/>
      <c r="C29" s="6"/>
      <c r="D29" s="6"/>
      <c r="E29" s="151"/>
      <c r="F29" s="31"/>
    </row>
    <row r="30" spans="1:6" ht="12.75" hidden="1" customHeight="1" x14ac:dyDescent="0.2">
      <c r="B30" s="30"/>
      <c r="C30" s="6"/>
      <c r="D30" s="6"/>
      <c r="E30" s="151"/>
      <c r="F30" s="31"/>
    </row>
    <row r="31" spans="1:6" ht="12.75" hidden="1" customHeight="1" x14ac:dyDescent="0.2">
      <c r="B31" s="30"/>
      <c r="C31" s="6"/>
      <c r="D31" s="6"/>
      <c r="E31" s="151"/>
      <c r="F31" s="31"/>
    </row>
    <row r="32" spans="1:6" ht="12.75" hidden="1" customHeight="1" x14ac:dyDescent="0.2">
      <c r="B32" s="30"/>
      <c r="C32" s="6"/>
      <c r="D32" s="6"/>
      <c r="E32" s="151"/>
      <c r="F32" s="31"/>
    </row>
    <row r="33" spans="1:6" ht="12.75" hidden="1" customHeight="1" x14ac:dyDescent="0.2">
      <c r="B33" s="30"/>
      <c r="C33" s="6"/>
      <c r="D33" s="6"/>
      <c r="E33" s="151"/>
      <c r="F33" s="31"/>
    </row>
    <row r="34" spans="1:6" ht="12.75" hidden="1" customHeight="1" x14ac:dyDescent="0.2">
      <c r="B34" s="30"/>
      <c r="C34" s="6"/>
      <c r="D34" s="6"/>
      <c r="E34" s="151"/>
      <c r="F34" s="31"/>
    </row>
    <row r="35" spans="1:6" ht="12.75" hidden="1" customHeight="1" x14ac:dyDescent="0.2">
      <c r="B35" s="30"/>
      <c r="C35" s="6"/>
      <c r="D35" s="6"/>
      <c r="E35" s="151"/>
      <c r="F35" s="31"/>
    </row>
    <row r="36" spans="1:6" x14ac:dyDescent="0.2">
      <c r="A36" s="116" t="s">
        <v>2</v>
      </c>
      <c r="B36" s="32">
        <f>SUM(B$12:B$35)</f>
        <v>1845</v>
      </c>
      <c r="C36" s="7">
        <f t="shared" ref="C36:E36" si="1">SUM(C$12:C$35)</f>
        <v>4004037</v>
      </c>
      <c r="D36" s="7">
        <f t="shared" si="1"/>
        <v>868818</v>
      </c>
      <c r="E36" s="152">
        <f t="shared" si="1"/>
        <v>822094.46900000004</v>
      </c>
      <c r="F36" s="64">
        <f>SUM(F$12:F$35)</f>
        <v>0.99999999999999978</v>
      </c>
    </row>
    <row r="39" spans="1:6" ht="12.75" hidden="1" customHeight="1" x14ac:dyDescent="0.2"/>
    <row r="40" spans="1:6" ht="12.75" hidden="1" customHeight="1" x14ac:dyDescent="0.2"/>
    <row r="41" spans="1:6" ht="12.75" hidden="1" customHeight="1" x14ac:dyDescent="0.2"/>
    <row r="42" spans="1:6" ht="12.75" hidden="1" customHeight="1" x14ac:dyDescent="0.2"/>
    <row r="43" spans="1:6" ht="12.75" hidden="1" customHeight="1" x14ac:dyDescent="0.2"/>
    <row r="44" spans="1:6" ht="12.75" hidden="1" customHeight="1" x14ac:dyDescent="0.2"/>
    <row r="45" spans="1:6" ht="12.75" hidden="1" customHeight="1" x14ac:dyDescent="0.2"/>
    <row r="46" spans="1:6" ht="12.75" hidden="1" customHeight="1" x14ac:dyDescent="0.2"/>
    <row r="47" spans="1:6" ht="12.75" hidden="1" customHeight="1" x14ac:dyDescent="0.2"/>
    <row r="48" spans="1:6" ht="12.75" hidden="1" customHeight="1" x14ac:dyDescent="0.2"/>
    <row r="49" spans="1:6" ht="12.75" hidden="1" customHeight="1" x14ac:dyDescent="0.2"/>
    <row r="51" spans="1:6" x14ac:dyDescent="0.2">
      <c r="A51" s="117" t="str">
        <f>Translation!$A$29</f>
        <v>institutions de prévoyance sans garantie étatique</v>
      </c>
      <c r="E51" s="157"/>
    </row>
    <row r="52" spans="1:6" x14ac:dyDescent="0.2">
      <c r="A52" s="115" t="str">
        <f>$A$12</f>
        <v>Non défini</v>
      </c>
      <c r="B52" s="33">
        <v>88</v>
      </c>
      <c r="C52" s="8">
        <v>1199</v>
      </c>
      <c r="D52" s="8">
        <v>7839</v>
      </c>
      <c r="E52" s="153">
        <v>4722.17</v>
      </c>
      <c r="F52" s="34">
        <f t="shared" ref="F52:F58" si="2">E52/E$76</f>
        <v>6.590607237512763E-3</v>
      </c>
    </row>
    <row r="53" spans="1:6" x14ac:dyDescent="0.2">
      <c r="A53" s="115" t="str">
        <f>$A$13</f>
        <v>Moins de 20 %</v>
      </c>
      <c r="B53" s="33">
        <v>374</v>
      </c>
      <c r="C53" s="8">
        <v>226771</v>
      </c>
      <c r="D53" s="8">
        <v>36074</v>
      </c>
      <c r="E53" s="153">
        <v>60778.040999999997</v>
      </c>
      <c r="F53" s="34">
        <f t="shared" si="2"/>
        <v>8.482629742183094E-2</v>
      </c>
    </row>
    <row r="54" spans="1:6" x14ac:dyDescent="0.2">
      <c r="A54" s="115" t="str">
        <f>$A$14</f>
        <v>De 20 à 39 %</v>
      </c>
      <c r="B54" s="33">
        <v>270</v>
      </c>
      <c r="C54" s="8">
        <v>566935</v>
      </c>
      <c r="D54" s="8">
        <v>240165</v>
      </c>
      <c r="E54" s="153">
        <v>262748.88800000004</v>
      </c>
      <c r="F54" s="34">
        <f t="shared" si="2"/>
        <v>0.36671164377843884</v>
      </c>
    </row>
    <row r="55" spans="1:6" x14ac:dyDescent="0.2">
      <c r="A55" s="115" t="str">
        <f>$A$15</f>
        <v>De 40 à 59 %</v>
      </c>
      <c r="B55" s="33">
        <v>574</v>
      </c>
      <c r="C55" s="8">
        <v>1955300</v>
      </c>
      <c r="D55" s="8">
        <v>330446</v>
      </c>
      <c r="E55" s="153">
        <v>309047.95500000002</v>
      </c>
      <c r="F55" s="34">
        <f t="shared" si="2"/>
        <v>0.43133002178268015</v>
      </c>
    </row>
    <row r="56" spans="1:6" x14ac:dyDescent="0.2">
      <c r="A56" s="115" t="str">
        <f>$A$16</f>
        <v>De 60 à 79 %</v>
      </c>
      <c r="B56" s="33">
        <v>382</v>
      </c>
      <c r="C56" s="8">
        <v>583803</v>
      </c>
      <c r="D56" s="8">
        <v>71373</v>
      </c>
      <c r="E56" s="153">
        <v>64140.442999999999</v>
      </c>
      <c r="F56" s="34">
        <f t="shared" si="2"/>
        <v>8.9519112580249083E-2</v>
      </c>
    </row>
    <row r="57" spans="1:6" ht="12.75" customHeight="1" x14ac:dyDescent="0.2">
      <c r="A57" s="115" t="str">
        <f>$A$17</f>
        <v>De 80 à 99 %</v>
      </c>
      <c r="B57" s="33">
        <v>75</v>
      </c>
      <c r="C57" s="8">
        <v>323337</v>
      </c>
      <c r="D57" s="8">
        <v>27043</v>
      </c>
      <c r="E57" s="153">
        <v>14008.550999999999</v>
      </c>
      <c r="F57" s="34">
        <f t="shared" si="2"/>
        <v>1.9551362531985642E-2</v>
      </c>
    </row>
    <row r="58" spans="1:6" ht="12.75" customHeight="1" x14ac:dyDescent="0.2">
      <c r="A58" s="115" t="str">
        <f>$A$18</f>
        <v>100 %</v>
      </c>
      <c r="B58" s="33">
        <v>39</v>
      </c>
      <c r="C58" s="8">
        <v>7312</v>
      </c>
      <c r="D58" s="8">
        <v>1966</v>
      </c>
      <c r="E58" s="153">
        <v>1053.9390000000001</v>
      </c>
      <c r="F58" s="34">
        <f t="shared" si="2"/>
        <v>1.4709546673027367E-3</v>
      </c>
    </row>
    <row r="59" spans="1:6" ht="12.75" hidden="1" customHeight="1" x14ac:dyDescent="0.2">
      <c r="A59" s="115">
        <f>$A$19</f>
        <v>0</v>
      </c>
      <c r="B59" s="33"/>
      <c r="C59" s="8"/>
      <c r="D59" s="8"/>
      <c r="E59" s="153"/>
      <c r="F59" s="34"/>
    </row>
    <row r="60" spans="1:6" ht="12.75" hidden="1" customHeight="1" x14ac:dyDescent="0.2">
      <c r="A60" s="115">
        <f>$A$20</f>
        <v>0</v>
      </c>
      <c r="B60" s="33"/>
      <c r="C60" s="8"/>
      <c r="D60" s="8"/>
      <c r="E60" s="153"/>
      <c r="F60" s="34"/>
    </row>
    <row r="61" spans="1:6" ht="12.75" hidden="1" customHeight="1" x14ac:dyDescent="0.2">
      <c r="A61" s="115">
        <f>$A$21</f>
        <v>0</v>
      </c>
      <c r="B61" s="33"/>
      <c r="C61" s="8"/>
      <c r="D61" s="8"/>
      <c r="E61" s="153"/>
      <c r="F61" s="34"/>
    </row>
    <row r="62" spans="1:6" ht="12.75" hidden="1" customHeight="1" x14ac:dyDescent="0.2">
      <c r="A62" s="115">
        <f>$A$22</f>
        <v>0</v>
      </c>
      <c r="B62" s="33"/>
      <c r="C62" s="8"/>
      <c r="D62" s="8"/>
      <c r="E62" s="153"/>
      <c r="F62" s="34"/>
    </row>
    <row r="63" spans="1:6" ht="12.75" hidden="1" customHeight="1" x14ac:dyDescent="0.2">
      <c r="A63" s="115">
        <f>$A$23</f>
        <v>0</v>
      </c>
      <c r="B63" s="33"/>
      <c r="C63" s="8"/>
      <c r="D63" s="8"/>
      <c r="E63" s="153"/>
      <c r="F63" s="34"/>
    </row>
    <row r="64" spans="1:6" ht="12.75" hidden="1" customHeight="1" x14ac:dyDescent="0.2">
      <c r="A64" s="115">
        <f>$A$24</f>
        <v>0</v>
      </c>
      <c r="B64" s="33"/>
      <c r="C64" s="8"/>
      <c r="D64" s="8"/>
      <c r="E64" s="153"/>
      <c r="F64" s="34"/>
    </row>
    <row r="65" spans="1:6" ht="12.75" hidden="1" customHeight="1" x14ac:dyDescent="0.2">
      <c r="A65" s="115">
        <f>$A$25</f>
        <v>0</v>
      </c>
      <c r="B65" s="33"/>
      <c r="C65" s="8"/>
      <c r="D65" s="8"/>
      <c r="E65" s="153"/>
      <c r="F65" s="34"/>
    </row>
    <row r="66" spans="1:6" ht="12.75" hidden="1" customHeight="1" x14ac:dyDescent="0.2">
      <c r="A66" s="115">
        <f>$A$26</f>
        <v>0</v>
      </c>
      <c r="B66" s="33"/>
      <c r="C66" s="8"/>
      <c r="D66" s="8"/>
      <c r="E66" s="153"/>
      <c r="F66" s="34"/>
    </row>
    <row r="67" spans="1:6" ht="12.75" hidden="1" customHeight="1" x14ac:dyDescent="0.2">
      <c r="A67" s="115">
        <f>$A$27</f>
        <v>0</v>
      </c>
      <c r="B67" s="33"/>
      <c r="C67" s="8"/>
      <c r="D67" s="8"/>
      <c r="E67" s="153"/>
      <c r="F67" s="34"/>
    </row>
    <row r="68" spans="1:6" ht="12.75" hidden="1" customHeight="1" x14ac:dyDescent="0.2">
      <c r="A68" s="115">
        <f>$A$28</f>
        <v>0</v>
      </c>
      <c r="B68" s="33"/>
      <c r="C68" s="8"/>
      <c r="D68" s="8"/>
      <c r="E68" s="153"/>
      <c r="F68" s="34"/>
    </row>
    <row r="69" spans="1:6" ht="12.75" hidden="1" customHeight="1" x14ac:dyDescent="0.2">
      <c r="A69" s="115">
        <f>$A$29</f>
        <v>0</v>
      </c>
      <c r="B69" s="33"/>
      <c r="C69" s="8"/>
      <c r="D69" s="8"/>
      <c r="E69" s="153"/>
      <c r="F69" s="34"/>
    </row>
    <row r="70" spans="1:6" ht="12.75" hidden="1" customHeight="1" x14ac:dyDescent="0.2">
      <c r="A70" s="115">
        <f>$A$30</f>
        <v>0</v>
      </c>
      <c r="B70" s="33"/>
      <c r="C70" s="8"/>
      <c r="D70" s="8"/>
      <c r="E70" s="153"/>
      <c r="F70" s="34"/>
    </row>
    <row r="71" spans="1:6" ht="12.75" hidden="1" customHeight="1" x14ac:dyDescent="0.2">
      <c r="A71" s="115">
        <f>$A$31</f>
        <v>0</v>
      </c>
      <c r="B71" s="33"/>
      <c r="C71" s="8"/>
      <c r="D71" s="8"/>
      <c r="E71" s="153"/>
      <c r="F71" s="34"/>
    </row>
    <row r="72" spans="1:6" ht="12.75" hidden="1" customHeight="1" x14ac:dyDescent="0.2">
      <c r="A72" s="115">
        <f>$A$32</f>
        <v>0</v>
      </c>
      <c r="B72" s="33"/>
      <c r="C72" s="8"/>
      <c r="D72" s="8"/>
      <c r="E72" s="153"/>
      <c r="F72" s="34"/>
    </row>
    <row r="73" spans="1:6" ht="12.75" hidden="1" customHeight="1" x14ac:dyDescent="0.2">
      <c r="A73" s="115">
        <f>$A$33</f>
        <v>0</v>
      </c>
      <c r="B73" s="33"/>
      <c r="C73" s="8"/>
      <c r="D73" s="8"/>
      <c r="E73" s="153"/>
      <c r="F73" s="34"/>
    </row>
    <row r="74" spans="1:6" ht="12.75" hidden="1" customHeight="1" x14ac:dyDescent="0.2">
      <c r="A74" s="115">
        <f>$A$34</f>
        <v>0</v>
      </c>
      <c r="B74" s="33"/>
      <c r="C74" s="8"/>
      <c r="D74" s="8"/>
      <c r="E74" s="153"/>
      <c r="F74" s="34"/>
    </row>
    <row r="75" spans="1:6" ht="12.75" hidden="1" customHeight="1" x14ac:dyDescent="0.2">
      <c r="B75" s="33"/>
      <c r="C75" s="8"/>
      <c r="D75" s="8"/>
      <c r="E75" s="153"/>
      <c r="F75" s="34"/>
    </row>
    <row r="76" spans="1: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716499.98699999996</v>
      </c>
      <c r="F76" s="67">
        <f t="shared" ref="F76" si="3">SUM(F$52:F$75)</f>
        <v>1</v>
      </c>
    </row>
    <row r="79" spans="1:6" ht="12.75" hidden="1" customHeight="1" x14ac:dyDescent="0.2"/>
    <row r="80" spans="1:6" ht="12.75" hidden="1" customHeight="1" x14ac:dyDescent="0.2"/>
    <row r="81" spans="1:6" ht="12.75" hidden="1" customHeight="1" x14ac:dyDescent="0.2"/>
    <row r="82" spans="1:6" ht="12.75" hidden="1" customHeight="1" x14ac:dyDescent="0.2"/>
    <row r="83" spans="1:6" ht="12.75" hidden="1" customHeight="1" x14ac:dyDescent="0.2"/>
    <row r="84" spans="1:6" ht="12.75" hidden="1" customHeight="1" x14ac:dyDescent="0.2"/>
    <row r="85" spans="1:6" ht="12.75" hidden="1" customHeight="1" x14ac:dyDescent="0.2"/>
    <row r="86" spans="1:6" ht="12.75" hidden="1" customHeight="1" x14ac:dyDescent="0.2"/>
    <row r="87" spans="1:6" ht="12.75" hidden="1" customHeight="1" x14ac:dyDescent="0.2"/>
    <row r="88" spans="1:6" ht="12.75" hidden="1" customHeight="1" x14ac:dyDescent="0.2"/>
    <row r="89" spans="1:6" ht="12.75" hidden="1" customHeight="1" x14ac:dyDescent="0.2"/>
    <row r="91" spans="1:6" x14ac:dyDescent="0.2">
      <c r="A91" s="118" t="str">
        <f>Translation!$A$30</f>
        <v>institutions de prévoyance avec garantie étatique</v>
      </c>
      <c r="E91" s="157"/>
    </row>
    <row r="92" spans="1:6" x14ac:dyDescent="0.2">
      <c r="A92" s="115" t="str">
        <f>$A$12</f>
        <v>Non défini</v>
      </c>
      <c r="B92" s="36">
        <v>0</v>
      </c>
      <c r="C92" s="10">
        <v>0</v>
      </c>
      <c r="D92" s="10">
        <v>0</v>
      </c>
      <c r="E92" s="155">
        <v>0</v>
      </c>
      <c r="F92" s="37">
        <f t="shared" ref="F92:F98" si="4">E92/E$116</f>
        <v>0</v>
      </c>
    </row>
    <row r="93" spans="1:6" x14ac:dyDescent="0.2">
      <c r="A93" s="115" t="str">
        <f>$A$13</f>
        <v>Moins de 20 %</v>
      </c>
      <c r="B93" s="36">
        <v>5</v>
      </c>
      <c r="C93" s="10">
        <v>702</v>
      </c>
      <c r="D93" s="10">
        <v>440</v>
      </c>
      <c r="E93" s="155">
        <v>1283.3390000000002</v>
      </c>
      <c r="F93" s="37">
        <f t="shared" si="4"/>
        <v>1.2153466504054635E-2</v>
      </c>
    </row>
    <row r="94" spans="1:6" x14ac:dyDescent="0.2">
      <c r="A94" s="115" t="str">
        <f>$A$14</f>
        <v>De 20 à 39 %</v>
      </c>
      <c r="B94" s="36">
        <v>10</v>
      </c>
      <c r="C94" s="10">
        <v>178234</v>
      </c>
      <c r="D94" s="10">
        <v>81706</v>
      </c>
      <c r="E94" s="155">
        <v>61930.601999999999</v>
      </c>
      <c r="F94" s="37">
        <f t="shared" si="4"/>
        <v>0.58649468065954424</v>
      </c>
    </row>
    <row r="95" spans="1:6" x14ac:dyDescent="0.2">
      <c r="A95" s="115" t="str">
        <f>$A$15</f>
        <v>De 40 à 59 %</v>
      </c>
      <c r="B95" s="36">
        <v>23</v>
      </c>
      <c r="C95" s="10">
        <v>157905</v>
      </c>
      <c r="D95" s="10">
        <v>70518</v>
      </c>
      <c r="E95" s="155">
        <v>41796.356999999996</v>
      </c>
      <c r="F95" s="37">
        <f t="shared" si="4"/>
        <v>0.39581951829642004</v>
      </c>
    </row>
    <row r="96" spans="1:6" x14ac:dyDescent="0.2">
      <c r="A96" s="115" t="str">
        <f>$A$16</f>
        <v>De 60 à 79 %</v>
      </c>
      <c r="B96" s="36">
        <v>4</v>
      </c>
      <c r="C96" s="10">
        <v>1581</v>
      </c>
      <c r="D96" s="10">
        <v>775</v>
      </c>
      <c r="E96" s="155">
        <v>374.88400000000001</v>
      </c>
      <c r="F96" s="37">
        <f t="shared" si="4"/>
        <v>3.5502233914078956E-3</v>
      </c>
    </row>
    <row r="97" spans="1:6" ht="12.75" customHeight="1" x14ac:dyDescent="0.2">
      <c r="A97" s="115" t="str">
        <f>$A$17</f>
        <v>De 80 à 99 %</v>
      </c>
      <c r="B97" s="36">
        <v>1</v>
      </c>
      <c r="C97" s="10">
        <v>958</v>
      </c>
      <c r="D97" s="10">
        <v>473</v>
      </c>
      <c r="E97" s="155">
        <v>209.3</v>
      </c>
      <c r="F97" s="37">
        <f t="shared" si="4"/>
        <v>1.9821111485730856E-3</v>
      </c>
    </row>
    <row r="98" spans="1:6" ht="12.75" customHeight="1" x14ac:dyDescent="0.2">
      <c r="A98" s="115" t="str">
        <f>$A$18</f>
        <v>100 %</v>
      </c>
      <c r="B98" s="36">
        <v>0</v>
      </c>
      <c r="C98" s="10">
        <v>0</v>
      </c>
      <c r="D98" s="10">
        <v>0</v>
      </c>
      <c r="E98" s="155">
        <v>0</v>
      </c>
      <c r="F98" s="37">
        <f t="shared" si="4"/>
        <v>0</v>
      </c>
    </row>
    <row r="99" spans="1:6" ht="12.75" hidden="1" customHeight="1" x14ac:dyDescent="0.2">
      <c r="A99" s="115">
        <f>$A$19</f>
        <v>0</v>
      </c>
      <c r="B99" s="36"/>
      <c r="C99" s="10"/>
      <c r="D99" s="10"/>
      <c r="E99" s="155"/>
      <c r="F99" s="37"/>
    </row>
    <row r="100" spans="1: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</row>
    <row r="101" spans="1: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</row>
    <row r="102" spans="1: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</row>
    <row r="103" spans="1: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</row>
    <row r="104" spans="1: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</row>
    <row r="105" spans="1: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</row>
    <row r="106" spans="1: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</row>
    <row r="107" spans="1: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</row>
    <row r="108" spans="1: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</row>
    <row r="109" spans="1: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</row>
    <row r="110" spans="1: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</row>
    <row r="111" spans="1: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</row>
    <row r="112" spans="1: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</row>
    <row r="113" spans="1: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</row>
    <row r="114" spans="1: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</row>
    <row r="115" spans="1:6" ht="12.75" hidden="1" customHeight="1" x14ac:dyDescent="0.2">
      <c r="B115" s="36"/>
      <c r="C115" s="10"/>
      <c r="D115" s="10"/>
      <c r="E115" s="155"/>
      <c r="F115" s="37"/>
    </row>
    <row r="116" spans="1: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" si="5">SUM(F$92:F$115)</f>
        <v>0.99999999999999989</v>
      </c>
    </row>
    <row r="120" spans="1:6" x14ac:dyDescent="0.2">
      <c r="A120" s="111" t="str">
        <f>Translation!$A$36</f>
        <v>somme du bilan en millions de francs</v>
      </c>
    </row>
  </sheetData>
  <mergeCells count="1"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Translation!$A$239</f>
        <v>Augmentation du taux de couverture par année en cas de réduction de 1 % de la rémunération des avoirs de vieillesse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retour à la vue d'ensemble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 t="str">
        <f>Translation!$A$240</f>
        <v>Augmentation du taux de couverture de</v>
      </c>
      <c r="B4" s="28" t="str">
        <f>Translation!$A$40</f>
        <v>Nombre d'IP</v>
      </c>
      <c r="C4" s="19" t="str">
        <f>Translation!$A$41</f>
        <v>Nombre d'assurés actifs</v>
      </c>
      <c r="D4" s="19" t="str">
        <f>Translation!$A$42</f>
        <v>Nombre de rentiers</v>
      </c>
      <c r="E4" s="149" t="str">
        <f>Translation!$A$43</f>
        <v>Somme du bilan</v>
      </c>
      <c r="F4" s="29" t="str">
        <f>Translation!$A$46</f>
        <v>Part de la somme du bilan</v>
      </c>
      <c r="G4" s="28" t="str">
        <f>Translation!$A$40</f>
        <v>Nombre d'IP</v>
      </c>
      <c r="H4" s="19" t="str">
        <f>Translation!$A$41</f>
        <v>Nombre d'assurés actifs</v>
      </c>
      <c r="I4" s="19" t="str">
        <f>Translation!$A$42</f>
        <v>Nombre de rentiers</v>
      </c>
      <c r="J4" s="149" t="str">
        <f>Translation!$A$43</f>
        <v>Somme du bilan</v>
      </c>
      <c r="K4" s="29" t="str">
        <f>Translation!$A$46</f>
        <v>Part de la somme du bilan</v>
      </c>
      <c r="L4" s="28" t="str">
        <f>Translation!$A$40</f>
        <v>Nombre d'IP</v>
      </c>
      <c r="M4" s="73" t="str">
        <f>Translation!$A$41</f>
        <v>Nombre d'assurés actifs</v>
      </c>
      <c r="N4" s="73" t="str">
        <f>Translation!$A$42</f>
        <v>Nombre de rentiers</v>
      </c>
      <c r="O4" s="149" t="str">
        <f>Translation!$A$43</f>
        <v>Somme du bilan</v>
      </c>
      <c r="P4" s="29" t="str">
        <f>Translation!$A$46</f>
        <v>Part de la somme du bilan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toutes les institutions de prévoyance</v>
      </c>
      <c r="E11" s="157"/>
      <c r="J11" s="157"/>
      <c r="O11" s="157"/>
    </row>
    <row r="12" spans="1:16" x14ac:dyDescent="0.2">
      <c r="A12" s="115" t="str">
        <f>Translation!$A241</f>
        <v>De 0,00 à 0,19 %</v>
      </c>
      <c r="B12" s="30">
        <v>94</v>
      </c>
      <c r="C12" s="6">
        <v>4884</v>
      </c>
      <c r="D12" s="6">
        <v>21923</v>
      </c>
      <c r="E12" s="151">
        <v>11642.191999999999</v>
      </c>
      <c r="F12" s="31">
        <f t="shared" ref="F12:F17" si="0">E12/E$36</f>
        <v>1.4161623072542529E-2</v>
      </c>
      <c r="G12" s="41">
        <v>115</v>
      </c>
      <c r="H12" s="42">
        <v>24269</v>
      </c>
      <c r="I12" s="42">
        <v>23970</v>
      </c>
      <c r="J12" s="161">
        <v>11335.097</v>
      </c>
      <c r="K12" s="44">
        <f t="shared" ref="K12:K17" si="1">J12/J$36</f>
        <v>1.5523431376948473E-2</v>
      </c>
      <c r="L12" s="76">
        <v>157</v>
      </c>
      <c r="M12" s="123">
        <v>286929</v>
      </c>
      <c r="N12" s="123">
        <v>62307.999999999993</v>
      </c>
      <c r="O12" s="168">
        <v>9743.1204060000036</v>
      </c>
      <c r="P12" s="125">
        <f t="shared" ref="P12:P17" si="2">O12/O$36</f>
        <v>1.4479422540525057E-2</v>
      </c>
    </row>
    <row r="13" spans="1:16" x14ac:dyDescent="0.2">
      <c r="A13" s="115" t="str">
        <f>Translation!$A242</f>
        <v>De 0,20 à 0,39 %</v>
      </c>
      <c r="B13" s="30">
        <v>158</v>
      </c>
      <c r="C13" s="6">
        <v>241552</v>
      </c>
      <c r="D13" s="6">
        <v>183688</v>
      </c>
      <c r="E13" s="151">
        <v>141097.92199999999</v>
      </c>
      <c r="F13" s="31">
        <f t="shared" si="0"/>
        <v>0.17163224826415902</v>
      </c>
      <c r="G13" s="41">
        <v>168</v>
      </c>
      <c r="H13" s="42">
        <v>268113</v>
      </c>
      <c r="I13" s="42">
        <v>202027</v>
      </c>
      <c r="J13" s="161">
        <v>135010.65400000001</v>
      </c>
      <c r="K13" s="44">
        <f t="shared" si="1"/>
        <v>0.18489728164884112</v>
      </c>
      <c r="L13" s="76">
        <v>142</v>
      </c>
      <c r="M13" s="123">
        <v>325813</v>
      </c>
      <c r="N13" s="123">
        <v>195529</v>
      </c>
      <c r="O13" s="168">
        <v>119674.06378700006</v>
      </c>
      <c r="P13" s="125">
        <f t="shared" si="2"/>
        <v>0.17784973032321588</v>
      </c>
    </row>
    <row r="14" spans="1:16" x14ac:dyDescent="0.2">
      <c r="A14" s="115" t="str">
        <f>Translation!$A243</f>
        <v>De 0,40 à 0,59 %</v>
      </c>
      <c r="B14" s="30">
        <v>486</v>
      </c>
      <c r="C14" s="6">
        <v>1229120</v>
      </c>
      <c r="D14" s="6">
        <v>503334</v>
      </c>
      <c r="E14" s="151">
        <v>413756.98700000002</v>
      </c>
      <c r="F14" s="31">
        <f t="shared" si="0"/>
        <v>0.50329615707461961</v>
      </c>
      <c r="G14" s="41">
        <v>510</v>
      </c>
      <c r="H14" s="42">
        <v>1183855</v>
      </c>
      <c r="I14" s="42">
        <v>474884</v>
      </c>
      <c r="J14" s="161">
        <v>383006.64500000002</v>
      </c>
      <c r="K14" s="44">
        <f t="shared" si="1"/>
        <v>0.52452814215641608</v>
      </c>
      <c r="L14" s="76">
        <v>497</v>
      </c>
      <c r="M14" s="123">
        <v>1110894</v>
      </c>
      <c r="N14" s="123">
        <v>459831</v>
      </c>
      <c r="O14" s="168">
        <v>330515.3697449998</v>
      </c>
      <c r="P14" s="125">
        <f t="shared" si="2"/>
        <v>0.49118470215441595</v>
      </c>
    </row>
    <row r="15" spans="1:16" x14ac:dyDescent="0.2">
      <c r="A15" s="115" t="str">
        <f>Translation!$A244</f>
        <v>De 0,60 à 0,79 %</v>
      </c>
      <c r="B15" s="30">
        <v>466</v>
      </c>
      <c r="C15" s="6">
        <v>1095347</v>
      </c>
      <c r="D15" s="6">
        <v>139924</v>
      </c>
      <c r="E15" s="151">
        <v>142489.26199999999</v>
      </c>
      <c r="F15" s="31">
        <f t="shared" si="0"/>
        <v>0.17332468149715768</v>
      </c>
      <c r="G15" s="41">
        <v>485</v>
      </c>
      <c r="H15" s="42">
        <v>1227332</v>
      </c>
      <c r="I15" s="42">
        <v>148505</v>
      </c>
      <c r="J15" s="161">
        <v>126743.488</v>
      </c>
      <c r="K15" s="44">
        <f t="shared" si="1"/>
        <v>0.17357538611650983</v>
      </c>
      <c r="L15" s="76">
        <v>466</v>
      </c>
      <c r="M15" s="123">
        <v>1154959</v>
      </c>
      <c r="N15" s="123">
        <v>160583</v>
      </c>
      <c r="O15" s="168">
        <v>130421.17230300007</v>
      </c>
      <c r="P15" s="125">
        <f t="shared" si="2"/>
        <v>0.1938211972462984</v>
      </c>
    </row>
    <row r="16" spans="1:16" x14ac:dyDescent="0.2">
      <c r="A16" s="115" t="str">
        <f>Translation!$A245</f>
        <v>De 0,80 à 0,99 %</v>
      </c>
      <c r="B16" s="30">
        <v>413</v>
      </c>
      <c r="C16" s="6">
        <v>838983</v>
      </c>
      <c r="D16" s="6">
        <v>18960</v>
      </c>
      <c r="E16" s="151">
        <v>91870.979000000007</v>
      </c>
      <c r="F16" s="31">
        <f t="shared" si="0"/>
        <v>0.111752338039389</v>
      </c>
      <c r="G16" s="41">
        <v>430</v>
      </c>
      <c r="H16" s="42">
        <v>776312</v>
      </c>
      <c r="I16" s="42">
        <v>22324</v>
      </c>
      <c r="J16" s="161">
        <v>58224.245999999999</v>
      </c>
      <c r="K16" s="44">
        <f t="shared" si="1"/>
        <v>7.9738187265231755E-2</v>
      </c>
      <c r="L16" s="76">
        <v>429</v>
      </c>
      <c r="M16" s="123">
        <v>785828</v>
      </c>
      <c r="N16" s="123">
        <v>31919</v>
      </c>
      <c r="O16" s="168">
        <v>79988.710000000006</v>
      </c>
      <c r="P16" s="125">
        <f t="shared" si="2"/>
        <v>0.11887262830584398</v>
      </c>
    </row>
    <row r="17" spans="1:16" ht="12.75" customHeight="1" x14ac:dyDescent="0.2">
      <c r="A17" s="111" t="str">
        <f>Translation!$A246</f>
        <v>1,00 %</v>
      </c>
      <c r="B17" s="30">
        <v>228</v>
      </c>
      <c r="C17" s="6">
        <v>594151</v>
      </c>
      <c r="D17" s="6">
        <v>989</v>
      </c>
      <c r="E17" s="151">
        <v>21237.127</v>
      </c>
      <c r="F17" s="31">
        <f t="shared" si="0"/>
        <v>2.58329520521321E-2</v>
      </c>
      <c r="G17" s="41">
        <v>197</v>
      </c>
      <c r="H17" s="42">
        <v>452867</v>
      </c>
      <c r="I17" s="42">
        <v>71622</v>
      </c>
      <c r="J17" s="161">
        <v>15872.617</v>
      </c>
      <c r="K17" s="44">
        <f t="shared" si="1"/>
        <v>2.1737571436052622E-2</v>
      </c>
      <c r="L17" s="76">
        <v>171</v>
      </c>
      <c r="M17" s="123">
        <v>36075</v>
      </c>
      <c r="N17" s="123">
        <v>775</v>
      </c>
      <c r="O17" s="168">
        <v>2551.83</v>
      </c>
      <c r="P17" s="125">
        <f t="shared" si="2"/>
        <v>3.7923194297007894E-3</v>
      </c>
    </row>
    <row r="18" spans="1:16" ht="12.75" hidden="1" customHeight="1" x14ac:dyDescent="0.2">
      <c r="B18" s="30"/>
      <c r="C18" s="6"/>
      <c r="D18" s="6"/>
      <c r="E18" s="151"/>
      <c r="F18" s="31"/>
      <c r="G18" s="41"/>
      <c r="H18" s="42"/>
      <c r="I18" s="42"/>
      <c r="J18" s="161"/>
      <c r="K18" s="44"/>
      <c r="L18" s="76"/>
      <c r="M18" s="123"/>
      <c r="N18" s="123"/>
      <c r="O18" s="168"/>
      <c r="P18" s="125"/>
    </row>
    <row r="19" spans="1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1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1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1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1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1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1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1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1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1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1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1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1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1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3">SUM(C$12:C$35)</f>
        <v>4004037</v>
      </c>
      <c r="D36" s="7">
        <f t="shared" si="3"/>
        <v>868818</v>
      </c>
      <c r="E36" s="152">
        <f t="shared" si="3"/>
        <v>822094.46900000004</v>
      </c>
      <c r="F36" s="64">
        <f>SUM(F$12:F$35)</f>
        <v>1</v>
      </c>
      <c r="G36" s="45">
        <f t="shared" ref="G36:J36" si="4">SUM(G$12:G$35)</f>
        <v>1905</v>
      </c>
      <c r="H36" s="65">
        <f t="shared" si="4"/>
        <v>3932748</v>
      </c>
      <c r="I36" s="65">
        <f t="shared" si="4"/>
        <v>943332</v>
      </c>
      <c r="J36" s="162">
        <f t="shared" si="4"/>
        <v>730192.74700000009</v>
      </c>
      <c r="K36" s="66">
        <f t="shared" ref="K36:O36" si="5">SUM(K$12:K$35)</f>
        <v>0.99999999999999978</v>
      </c>
      <c r="L36" s="77">
        <f t="shared" si="5"/>
        <v>1862</v>
      </c>
      <c r="M36" s="126">
        <f t="shared" si="5"/>
        <v>3700498</v>
      </c>
      <c r="N36" s="126">
        <f t="shared" si="5"/>
        <v>910945</v>
      </c>
      <c r="O36" s="169">
        <f t="shared" si="5"/>
        <v>672894.26624099992</v>
      </c>
      <c r="P36" s="128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institutions de prévoyance sans garantie étatique</v>
      </c>
      <c r="E51" s="157"/>
      <c r="J51" s="157"/>
      <c r="O51" s="157"/>
    </row>
    <row r="52" spans="1:16" x14ac:dyDescent="0.2">
      <c r="A52" s="115" t="str">
        <f>$A$12</f>
        <v>De 0,00 à 0,19 %</v>
      </c>
      <c r="B52" s="33">
        <v>92</v>
      </c>
      <c r="C52" s="8">
        <v>4871</v>
      </c>
      <c r="D52" s="8">
        <v>21833</v>
      </c>
      <c r="E52" s="153">
        <v>11533.754000000001</v>
      </c>
      <c r="F52" s="34">
        <f t="shared" ref="F52:F57" si="6">E52/E$76</f>
        <v>1.6097354095276489E-2</v>
      </c>
      <c r="G52" s="47">
        <v>113</v>
      </c>
      <c r="H52" s="48">
        <v>24256</v>
      </c>
      <c r="I52" s="48">
        <v>23879</v>
      </c>
      <c r="J52" s="163">
        <v>11288.62</v>
      </c>
      <c r="K52" s="50">
        <f t="shared" ref="K52:K57" si="7">J52/J$76</f>
        <v>1.8057366991658066E-2</v>
      </c>
      <c r="L52" s="129">
        <v>157</v>
      </c>
      <c r="M52" s="130">
        <v>286929</v>
      </c>
      <c r="N52" s="130">
        <v>62307.999999999993</v>
      </c>
      <c r="O52" s="170">
        <v>9743.1204060000036</v>
      </c>
      <c r="P52" s="132">
        <f t="shared" ref="P52:P57" si="8">O52/O$76</f>
        <v>1.6970099023443871E-2</v>
      </c>
    </row>
    <row r="53" spans="1:16" x14ac:dyDescent="0.2">
      <c r="A53" s="115" t="str">
        <f>$A$13</f>
        <v>De 0,20 à 0,39 %</v>
      </c>
      <c r="B53" s="33">
        <v>146</v>
      </c>
      <c r="C53" s="8">
        <v>179442</v>
      </c>
      <c r="D53" s="8">
        <v>150166</v>
      </c>
      <c r="E53" s="153">
        <v>122293.651</v>
      </c>
      <c r="F53" s="34">
        <f t="shared" si="6"/>
        <v>0.17068200030546546</v>
      </c>
      <c r="G53" s="47">
        <v>158</v>
      </c>
      <c r="H53" s="48">
        <v>216224</v>
      </c>
      <c r="I53" s="48">
        <v>173019</v>
      </c>
      <c r="J53" s="163">
        <v>121496.594</v>
      </c>
      <c r="K53" s="50">
        <f t="shared" si="7"/>
        <v>0.19434692514182259</v>
      </c>
      <c r="L53" s="129">
        <v>133</v>
      </c>
      <c r="M53" s="130">
        <v>294384</v>
      </c>
      <c r="N53" s="130">
        <v>179194</v>
      </c>
      <c r="O53" s="170">
        <v>112727.09767200006</v>
      </c>
      <c r="P53" s="132">
        <f t="shared" si="8"/>
        <v>0.19634264284994501</v>
      </c>
    </row>
    <row r="54" spans="1:16" x14ac:dyDescent="0.2">
      <c r="A54" s="115" t="str">
        <f>$A$14</f>
        <v>De 0,40 à 0,59 %</v>
      </c>
      <c r="B54" s="33">
        <v>457</v>
      </c>
      <c r="C54" s="8">
        <v>951863</v>
      </c>
      <c r="D54" s="8">
        <v>383034</v>
      </c>
      <c r="E54" s="153">
        <v>327075.21399999998</v>
      </c>
      <c r="F54" s="34">
        <f t="shared" si="6"/>
        <v>0.45649018832431604</v>
      </c>
      <c r="G54" s="47">
        <v>465</v>
      </c>
      <c r="H54" s="48">
        <v>877641</v>
      </c>
      <c r="I54" s="48">
        <v>344279</v>
      </c>
      <c r="J54" s="163">
        <v>291528.53200000001</v>
      </c>
      <c r="K54" s="50">
        <f t="shared" si="7"/>
        <v>0.46633137539073261</v>
      </c>
      <c r="L54" s="129">
        <v>445</v>
      </c>
      <c r="M54" s="130">
        <v>775114</v>
      </c>
      <c r="N54" s="130">
        <v>323625</v>
      </c>
      <c r="O54" s="170">
        <v>240585.51974499982</v>
      </c>
      <c r="P54" s="132">
        <f t="shared" si="8"/>
        <v>0.41904029957026029</v>
      </c>
    </row>
    <row r="55" spans="1:16" x14ac:dyDescent="0.2">
      <c r="A55" s="115" t="str">
        <f>$A$15</f>
        <v>De 0,60 à 0,79 %</v>
      </c>
      <c r="B55" s="33">
        <v>466</v>
      </c>
      <c r="C55" s="8">
        <v>1095347</v>
      </c>
      <c r="D55" s="8">
        <v>139924</v>
      </c>
      <c r="E55" s="153">
        <v>142489.26199999999</v>
      </c>
      <c r="F55" s="34">
        <f t="shared" si="6"/>
        <v>0.19886847813718103</v>
      </c>
      <c r="G55" s="47">
        <v>485</v>
      </c>
      <c r="H55" s="48">
        <v>1227332</v>
      </c>
      <c r="I55" s="48">
        <v>148505</v>
      </c>
      <c r="J55" s="163">
        <v>126743.488</v>
      </c>
      <c r="K55" s="50">
        <f t="shared" si="7"/>
        <v>0.20273989882012239</v>
      </c>
      <c r="L55" s="129">
        <v>463</v>
      </c>
      <c r="M55" s="130">
        <v>1136837</v>
      </c>
      <c r="N55" s="130">
        <v>157897</v>
      </c>
      <c r="O55" s="170">
        <v>128542.89630300007</v>
      </c>
      <c r="P55" s="132">
        <f t="shared" si="8"/>
        <v>0.22388984104916207</v>
      </c>
    </row>
    <row r="56" spans="1:16" x14ac:dyDescent="0.2">
      <c r="A56" s="115" t="str">
        <f>$A$16</f>
        <v>De 0,80 à 0,99 %</v>
      </c>
      <c r="B56" s="33">
        <v>413</v>
      </c>
      <c r="C56" s="8">
        <v>838983</v>
      </c>
      <c r="D56" s="8">
        <v>18960</v>
      </c>
      <c r="E56" s="153">
        <v>91870.979000000007</v>
      </c>
      <c r="F56" s="34">
        <f t="shared" si="6"/>
        <v>0.12822188508985977</v>
      </c>
      <c r="G56" s="47">
        <v>430</v>
      </c>
      <c r="H56" s="48">
        <v>776312</v>
      </c>
      <c r="I56" s="48">
        <v>22324</v>
      </c>
      <c r="J56" s="163">
        <v>58224.245999999999</v>
      </c>
      <c r="K56" s="50">
        <f t="shared" si="7"/>
        <v>9.3135970369680188E-2</v>
      </c>
      <c r="L56" s="129">
        <v>428</v>
      </c>
      <c r="M56" s="130">
        <v>785815</v>
      </c>
      <c r="N56" s="130">
        <v>31911</v>
      </c>
      <c r="O56" s="170">
        <v>79987.460000000006</v>
      </c>
      <c r="P56" s="132">
        <f t="shared" si="8"/>
        <v>0.13931831490020849</v>
      </c>
    </row>
    <row r="57" spans="1:16" ht="12.75" customHeight="1" x14ac:dyDescent="0.2">
      <c r="A57" s="115" t="str">
        <f>$A$17</f>
        <v>1,00 %</v>
      </c>
      <c r="B57" s="33">
        <v>228</v>
      </c>
      <c r="C57" s="8">
        <v>594151</v>
      </c>
      <c r="D57" s="8">
        <v>989</v>
      </c>
      <c r="E57" s="153">
        <v>21237.127</v>
      </c>
      <c r="F57" s="34">
        <f t="shared" si="6"/>
        <v>2.964009404790122E-2</v>
      </c>
      <c r="G57" s="47">
        <v>196</v>
      </c>
      <c r="H57" s="48">
        <v>452867</v>
      </c>
      <c r="I57" s="48">
        <v>71621</v>
      </c>
      <c r="J57" s="163">
        <v>15871.678</v>
      </c>
      <c r="K57" s="50">
        <f t="shared" si="7"/>
        <v>2.538846328598407E-2</v>
      </c>
      <c r="L57" s="129">
        <v>170</v>
      </c>
      <c r="M57" s="130">
        <v>36070</v>
      </c>
      <c r="N57" s="130">
        <v>766</v>
      </c>
      <c r="O57" s="170">
        <v>2548.4699999999998</v>
      </c>
      <c r="P57" s="132">
        <f t="shared" si="8"/>
        <v>4.4388026069803231E-3</v>
      </c>
    </row>
    <row r="58" spans="1:16" ht="12.75" hidden="1" customHeight="1" x14ac:dyDescent="0.2">
      <c r="A58" s="115">
        <f>$A$18</f>
        <v>0</v>
      </c>
      <c r="B58" s="33"/>
      <c r="C58" s="8"/>
      <c r="D58" s="8"/>
      <c r="E58" s="153"/>
      <c r="F58" s="34"/>
      <c r="G58" s="47"/>
      <c r="H58" s="48"/>
      <c r="I58" s="48"/>
      <c r="J58" s="163"/>
      <c r="K58" s="50"/>
      <c r="L58" s="129"/>
      <c r="M58" s="130"/>
      <c r="N58" s="130"/>
      <c r="O58" s="170"/>
      <c r="P58" s="132"/>
    </row>
    <row r="59" spans="1:16" ht="12.75" hidden="1" customHeight="1" x14ac:dyDescent="0.2">
      <c r="A59" s="115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5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5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5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5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5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5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716499.98699999996</v>
      </c>
      <c r="F76" s="67">
        <f t="shared" ref="F76:J76" si="9">SUM(F$52:F$75)</f>
        <v>1</v>
      </c>
      <c r="G76" s="51">
        <f t="shared" si="9"/>
        <v>1847</v>
      </c>
      <c r="H76" s="68">
        <f t="shared" si="9"/>
        <v>3574632</v>
      </c>
      <c r="I76" s="68">
        <f t="shared" si="9"/>
        <v>783627</v>
      </c>
      <c r="J76" s="164">
        <f t="shared" si="9"/>
        <v>625153.15800000005</v>
      </c>
      <c r="K76" s="69">
        <f t="shared" ref="K76:O76" si="10">SUM(K$52:K$75)</f>
        <v>0.99999999999999989</v>
      </c>
      <c r="L76" s="133">
        <f t="shared" si="10"/>
        <v>1796</v>
      </c>
      <c r="M76" s="134">
        <f t="shared" si="10"/>
        <v>3315149</v>
      </c>
      <c r="N76" s="134">
        <f t="shared" si="10"/>
        <v>755701</v>
      </c>
      <c r="O76" s="171">
        <f t="shared" si="10"/>
        <v>574134.56412599992</v>
      </c>
      <c r="P76" s="136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institutions de prévoyance avec garantie étatique</v>
      </c>
      <c r="E91" s="157"/>
      <c r="J91" s="157"/>
      <c r="O91" s="157"/>
    </row>
    <row r="92" spans="1:16" x14ac:dyDescent="0.2">
      <c r="A92" s="115" t="str">
        <f>$A$12</f>
        <v>De 0,00 à 0,19 %</v>
      </c>
      <c r="B92" s="36">
        <v>2</v>
      </c>
      <c r="C92" s="10">
        <v>13</v>
      </c>
      <c r="D92" s="10">
        <v>90</v>
      </c>
      <c r="E92" s="155">
        <v>108.438</v>
      </c>
      <c r="F92" s="37">
        <f t="shared" ref="F92:F97" si="11">E92/E$116</f>
        <v>1.0269286609124139E-3</v>
      </c>
      <c r="G92" s="53">
        <v>2</v>
      </c>
      <c r="H92" s="54">
        <v>13</v>
      </c>
      <c r="I92" s="54">
        <v>91</v>
      </c>
      <c r="J92" s="165">
        <v>46.476999999999997</v>
      </c>
      <c r="K92" s="56">
        <f t="shared" ref="K92:K97" si="12">J92/J$116</f>
        <v>4.4247126671449559E-4</v>
      </c>
      <c r="L92" s="137">
        <v>0</v>
      </c>
      <c r="M92" s="138">
        <v>0</v>
      </c>
      <c r="N92" s="138">
        <v>0</v>
      </c>
      <c r="O92" s="172">
        <v>0</v>
      </c>
      <c r="P92" s="140">
        <f t="shared" ref="P92:P97" si="13">O92/O$116</f>
        <v>0</v>
      </c>
    </row>
    <row r="93" spans="1:16" x14ac:dyDescent="0.2">
      <c r="A93" s="115" t="str">
        <f>$A$13</f>
        <v>De 0,20 à 0,39 %</v>
      </c>
      <c r="B93" s="36">
        <v>12</v>
      </c>
      <c r="C93" s="10">
        <v>62110</v>
      </c>
      <c r="D93" s="10">
        <v>33522</v>
      </c>
      <c r="E93" s="155">
        <v>18804.271000000001</v>
      </c>
      <c r="F93" s="37">
        <f t="shared" si="11"/>
        <v>0.17808005346339972</v>
      </c>
      <c r="G93" s="53">
        <v>10</v>
      </c>
      <c r="H93" s="54">
        <v>51889</v>
      </c>
      <c r="I93" s="54">
        <v>29008</v>
      </c>
      <c r="J93" s="165">
        <v>13514.06</v>
      </c>
      <c r="K93" s="56">
        <f t="shared" si="12"/>
        <v>0.1286568248091679</v>
      </c>
      <c r="L93" s="137">
        <v>9</v>
      </c>
      <c r="M93" s="138">
        <v>31429</v>
      </c>
      <c r="N93" s="138">
        <v>16335</v>
      </c>
      <c r="O93" s="172">
        <v>6946.9661150000002</v>
      </c>
      <c r="P93" s="140">
        <f t="shared" si="13"/>
        <v>7.0342112888419392E-2</v>
      </c>
    </row>
    <row r="94" spans="1:16" x14ac:dyDescent="0.2">
      <c r="A94" s="115" t="str">
        <f>$A$14</f>
        <v>De 0,40 à 0,59 %</v>
      </c>
      <c r="B94" s="36">
        <v>29</v>
      </c>
      <c r="C94" s="10">
        <v>277257</v>
      </c>
      <c r="D94" s="10">
        <v>120300</v>
      </c>
      <c r="E94" s="155">
        <v>86681.773000000001</v>
      </c>
      <c r="F94" s="37">
        <f t="shared" si="11"/>
        <v>0.8208930178756878</v>
      </c>
      <c r="G94" s="53">
        <v>45</v>
      </c>
      <c r="H94" s="54">
        <v>306214</v>
      </c>
      <c r="I94" s="54">
        <v>130605</v>
      </c>
      <c r="J94" s="165">
        <v>91478.112999999998</v>
      </c>
      <c r="K94" s="56">
        <f t="shared" si="12"/>
        <v>0.87089176443750183</v>
      </c>
      <c r="L94" s="137">
        <v>52</v>
      </c>
      <c r="M94" s="138">
        <v>335780</v>
      </c>
      <c r="N94" s="138">
        <v>136206</v>
      </c>
      <c r="O94" s="172">
        <v>89929.849999999977</v>
      </c>
      <c r="P94" s="140">
        <f t="shared" si="13"/>
        <v>0.91059256026594582</v>
      </c>
    </row>
    <row r="95" spans="1:16" x14ac:dyDescent="0.2">
      <c r="A95" s="115" t="str">
        <f>$A$15</f>
        <v>De 0,60 à 0,79 %</v>
      </c>
      <c r="B95" s="36">
        <v>0</v>
      </c>
      <c r="C95" s="10">
        <v>0</v>
      </c>
      <c r="D95" s="10">
        <v>0</v>
      </c>
      <c r="E95" s="155">
        <v>0</v>
      </c>
      <c r="F95" s="37">
        <f t="shared" si="11"/>
        <v>0</v>
      </c>
      <c r="G95" s="53">
        <v>0</v>
      </c>
      <c r="H95" s="54">
        <v>0</v>
      </c>
      <c r="I95" s="54">
        <v>0</v>
      </c>
      <c r="J95" s="165">
        <v>0</v>
      </c>
      <c r="K95" s="56">
        <f t="shared" si="12"/>
        <v>0</v>
      </c>
      <c r="L95" s="137">
        <v>3</v>
      </c>
      <c r="M95" s="138">
        <v>18122</v>
      </c>
      <c r="N95" s="138">
        <v>2686.0000000000005</v>
      </c>
      <c r="O95" s="172">
        <v>1878.2760000000001</v>
      </c>
      <c r="P95" s="140">
        <f t="shared" si="13"/>
        <v>1.901864788750432E-2</v>
      </c>
    </row>
    <row r="96" spans="1:16" x14ac:dyDescent="0.2">
      <c r="A96" s="115" t="str">
        <f>$A$16</f>
        <v>De 0,80 à 0,99 %</v>
      </c>
      <c r="B96" s="36">
        <v>0</v>
      </c>
      <c r="C96" s="10">
        <v>0</v>
      </c>
      <c r="D96" s="10">
        <v>0</v>
      </c>
      <c r="E96" s="155">
        <v>0</v>
      </c>
      <c r="F96" s="37">
        <f t="shared" si="11"/>
        <v>0</v>
      </c>
      <c r="G96" s="53">
        <v>0</v>
      </c>
      <c r="H96" s="54">
        <v>0</v>
      </c>
      <c r="I96" s="54">
        <v>0</v>
      </c>
      <c r="J96" s="165">
        <v>0</v>
      </c>
      <c r="K96" s="56">
        <f t="shared" si="12"/>
        <v>0</v>
      </c>
      <c r="L96" s="137">
        <v>1</v>
      </c>
      <c r="M96" s="138">
        <v>13</v>
      </c>
      <c r="N96" s="138">
        <v>8</v>
      </c>
      <c r="O96" s="172">
        <v>1.25</v>
      </c>
      <c r="P96" s="140">
        <f t="shared" si="13"/>
        <v>1.265698430868541E-5</v>
      </c>
    </row>
    <row r="97" spans="1:16" ht="12.75" customHeight="1" x14ac:dyDescent="0.2">
      <c r="A97" s="115" t="str">
        <f>$A$17</f>
        <v>1,00 %</v>
      </c>
      <c r="B97" s="36">
        <v>0</v>
      </c>
      <c r="C97" s="10">
        <v>0</v>
      </c>
      <c r="D97" s="10">
        <v>0</v>
      </c>
      <c r="E97" s="155">
        <v>0</v>
      </c>
      <c r="F97" s="37">
        <f t="shared" si="11"/>
        <v>0</v>
      </c>
      <c r="G97" s="53">
        <v>1</v>
      </c>
      <c r="H97" s="54">
        <v>0</v>
      </c>
      <c r="I97" s="54">
        <v>1</v>
      </c>
      <c r="J97" s="165">
        <v>0.93899999999999995</v>
      </c>
      <c r="K97" s="56">
        <f t="shared" si="12"/>
        <v>8.9394866158510961E-6</v>
      </c>
      <c r="L97" s="137">
        <v>1</v>
      </c>
      <c r="M97" s="138">
        <v>5</v>
      </c>
      <c r="N97" s="138">
        <v>9</v>
      </c>
      <c r="O97" s="172">
        <v>3.36</v>
      </c>
      <c r="P97" s="140">
        <f t="shared" si="13"/>
        <v>3.4021973821746378E-5</v>
      </c>
    </row>
    <row r="98" spans="1:16" ht="12.75" hidden="1" customHeight="1" x14ac:dyDescent="0.2">
      <c r="A98" s="115">
        <f>$A$18</f>
        <v>0</v>
      </c>
      <c r="B98" s="36"/>
      <c r="C98" s="10"/>
      <c r="D98" s="10"/>
      <c r="E98" s="155"/>
      <c r="F98" s="37"/>
      <c r="G98" s="53"/>
      <c r="H98" s="54"/>
      <c r="I98" s="54"/>
      <c r="J98" s="165"/>
      <c r="K98" s="56"/>
      <c r="L98" s="137"/>
      <c r="M98" s="138"/>
      <c r="N98" s="138"/>
      <c r="O98" s="172"/>
      <c r="P98" s="140"/>
    </row>
    <row r="99" spans="1:16" ht="12.75" hidden="1" customHeight="1" x14ac:dyDescent="0.2">
      <c r="A99" s="115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:J116" si="14">SUM(F$92:F$115)</f>
        <v>1</v>
      </c>
      <c r="G116" s="57">
        <f t="shared" si="14"/>
        <v>58</v>
      </c>
      <c r="H116" s="71">
        <f t="shared" si="14"/>
        <v>358116</v>
      </c>
      <c r="I116" s="71">
        <f t="shared" si="14"/>
        <v>159705</v>
      </c>
      <c r="J116" s="166">
        <f t="shared" si="14"/>
        <v>105039.58899999999</v>
      </c>
      <c r="K116" s="72">
        <f t="shared" ref="K116:O116" si="15">SUM(K$92:K$115)</f>
        <v>1</v>
      </c>
      <c r="L116" s="141">
        <f t="shared" si="15"/>
        <v>66</v>
      </c>
      <c r="M116" s="142">
        <f t="shared" si="15"/>
        <v>385349</v>
      </c>
      <c r="N116" s="142">
        <f t="shared" si="15"/>
        <v>155244</v>
      </c>
      <c r="O116" s="173">
        <f t="shared" si="15"/>
        <v>98759.702114999978</v>
      </c>
      <c r="P116" s="144">
        <f>SUM(P$92:P$115)</f>
        <v>0.99999999999999989</v>
      </c>
    </row>
    <row r="120" spans="1:16" x14ac:dyDescent="0.2">
      <c r="A120" s="111" t="str">
        <f>Translation!$A$36</f>
        <v>somme du bilan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16" orientation="landscape" cellComments="atEnd" r:id="rId1"/>
  <headerFooter>
    <oddFooter>&amp;L&amp;10&amp;F / &amp;A&amp;C&amp;10&amp;P / &amp;N&amp;R&amp;10OAK BV - RM / 12.05.2015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>
    <pageSetUpPr fitToPage="1"/>
  </sheetPr>
  <dimension ref="A1:P116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hidden="1" customWidth="1"/>
    <col min="3" max="4" width="0" style="18" hidden="1" customWidth="1"/>
    <col min="5" max="5" width="0" style="26" hidden="1" customWidth="1"/>
    <col min="6" max="6" width="11" style="27"/>
    <col min="7" max="7" width="11" style="25" hidden="1" customWidth="1"/>
    <col min="8" max="9" width="0" style="18" hidden="1" customWidth="1"/>
    <col min="10" max="10" width="0" style="40" hidden="1" customWidth="1"/>
    <col min="11" max="11" width="11" style="27"/>
    <col min="12" max="12" width="0" style="25" hidden="1" customWidth="1"/>
    <col min="13" max="14" width="0" style="18" hidden="1" customWidth="1"/>
    <col min="15" max="15" width="0" style="40" hidden="1" customWidth="1"/>
    <col min="16" max="16" width="11" style="27"/>
    <col min="17" max="16384" width="11" style="1"/>
  </cols>
  <sheetData>
    <row r="1" spans="1:16" s="22" customFormat="1" ht="18" x14ac:dyDescent="0.25">
      <c r="A1" s="109" t="str">
        <f>Translation!$A$247</f>
        <v>Stratégie de placement : distribution des principales catégories</v>
      </c>
      <c r="B1" s="21"/>
      <c r="E1" s="23"/>
      <c r="F1" s="24"/>
      <c r="G1" s="21"/>
      <c r="J1" s="39"/>
      <c r="K1" s="24"/>
      <c r="L1" s="21"/>
      <c r="O1" s="39"/>
      <c r="P1" s="24"/>
    </row>
    <row r="2" spans="1:16" s="18" customFormat="1" x14ac:dyDescent="0.2">
      <c r="A2" s="122" t="str">
        <f>Translation!$A$27</f>
        <v>retour à la vue d'ensemble</v>
      </c>
      <c r="B2" s="25"/>
      <c r="E2" s="26"/>
      <c r="F2" s="27"/>
      <c r="G2" s="25"/>
      <c r="J2" s="40"/>
      <c r="K2" s="27"/>
      <c r="L2" s="25"/>
      <c r="O2" s="40"/>
      <c r="P2" s="27"/>
    </row>
    <row r="3" spans="1:16" s="18" customFormat="1" ht="15.75" x14ac:dyDescent="0.25">
      <c r="A3" s="111"/>
      <c r="B3" s="145">
        <v>2014</v>
      </c>
      <c r="C3" s="146"/>
      <c r="D3" s="146"/>
      <c r="E3" s="146"/>
      <c r="F3" s="176">
        <v>2014</v>
      </c>
      <c r="G3" s="174">
        <v>2013</v>
      </c>
      <c r="H3" s="175"/>
      <c r="I3" s="175"/>
      <c r="J3" s="175"/>
      <c r="K3" s="176">
        <v>2013</v>
      </c>
      <c r="L3" s="174">
        <v>2012</v>
      </c>
      <c r="M3" s="175"/>
      <c r="N3" s="175"/>
      <c r="O3" s="175"/>
      <c r="P3" s="176">
        <v>2012</v>
      </c>
    </row>
    <row r="4" spans="1:16" s="18" customFormat="1" ht="38.25" x14ac:dyDescent="0.2">
      <c r="A4" s="112"/>
      <c r="B4" s="28" t="str">
        <f>Translation!$A$40</f>
        <v>Nombre d'IP</v>
      </c>
      <c r="C4" s="19" t="str">
        <f>Translation!$A$41</f>
        <v>Nombre d'assurés actifs</v>
      </c>
      <c r="D4" s="19" t="str">
        <f>Translation!$A$42</f>
        <v>Nombre de rentiers</v>
      </c>
      <c r="E4" s="20" t="str">
        <f>Translation!$A$43</f>
        <v>Somme du bilan</v>
      </c>
      <c r="F4" s="29" t="str">
        <f>Translation!$A$46</f>
        <v>Part de la somme du bilan</v>
      </c>
      <c r="G4" s="28" t="str">
        <f>Translation!$A$40</f>
        <v>Nombre d'IP</v>
      </c>
      <c r="H4" s="19" t="str">
        <f>Translation!$A$41</f>
        <v>Nombre d'assurés actifs</v>
      </c>
      <c r="I4" s="19" t="str">
        <f>Translation!$A$42</f>
        <v>Nombre de rentiers</v>
      </c>
      <c r="J4" s="20" t="str">
        <f>Translation!$A$43</f>
        <v>Somme du bilan</v>
      </c>
      <c r="K4" s="29" t="str">
        <f>Translation!$A$46</f>
        <v>Part de la somme du bilan</v>
      </c>
      <c r="L4" s="28" t="str">
        <f>Translation!$A$40</f>
        <v>Nombre d'IP</v>
      </c>
      <c r="M4" s="73" t="str">
        <f>Translation!$A$41</f>
        <v>Nombre d'assurés actifs</v>
      </c>
      <c r="N4" s="73" t="str">
        <f>Translation!$A$42</f>
        <v>Nombre de rentiers</v>
      </c>
      <c r="O4" s="20" t="str">
        <f>Translation!$A$43</f>
        <v>Somme du bilan</v>
      </c>
      <c r="P4" s="29" t="str">
        <f>Translation!$A$46</f>
        <v>Part de la somme du bilan</v>
      </c>
    </row>
    <row r="5" spans="1:16" s="60" customFormat="1" ht="13.5" thickBot="1" x14ac:dyDescent="0.25">
      <c r="A5" s="113"/>
      <c r="B5" s="59"/>
      <c r="E5" s="61"/>
      <c r="F5" s="62"/>
      <c r="G5" s="59"/>
      <c r="J5" s="63"/>
      <c r="K5" s="62"/>
      <c r="L5" s="59"/>
      <c r="M5" s="74"/>
      <c r="N5" s="74"/>
      <c r="O5" s="63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toutes les institutions de prévoyance</v>
      </c>
    </row>
    <row r="12" spans="1:16" x14ac:dyDescent="0.2">
      <c r="A12" s="115" t="str">
        <f>Translation!$A248</f>
        <v>Liquidités</v>
      </c>
      <c r="B12" s="30"/>
      <c r="C12" s="6"/>
      <c r="D12" s="6"/>
      <c r="E12" s="12"/>
      <c r="F12" s="31">
        <v>4.6184087118999996E-2</v>
      </c>
      <c r="G12" s="41"/>
      <c r="H12" s="42"/>
      <c r="I12" s="42"/>
      <c r="J12" s="43"/>
      <c r="K12" s="44">
        <v>3.9329999999999997E-2</v>
      </c>
      <c r="L12" s="76"/>
      <c r="M12" s="123"/>
      <c r="N12" s="123"/>
      <c r="O12" s="124"/>
      <c r="P12" s="125">
        <v>4.396724030157477E-2</v>
      </c>
    </row>
    <row r="13" spans="1:16" x14ac:dyDescent="0.2">
      <c r="A13" s="115" t="str">
        <f>Translation!$A249</f>
        <v>Créances</v>
      </c>
      <c r="B13" s="30"/>
      <c r="C13" s="6"/>
      <c r="D13" s="6"/>
      <c r="E13" s="12"/>
      <c r="F13" s="31">
        <v>0.40544166570999995</v>
      </c>
      <c r="G13" s="41"/>
      <c r="H13" s="42"/>
      <c r="I13" s="42"/>
      <c r="J13" s="43"/>
      <c r="K13" s="44">
        <v>0.41584000000000004</v>
      </c>
      <c r="L13" s="76"/>
      <c r="M13" s="123"/>
      <c r="N13" s="123"/>
      <c r="O13" s="124"/>
      <c r="P13" s="125">
        <v>0.44223878315293103</v>
      </c>
    </row>
    <row r="14" spans="1:16" x14ac:dyDescent="0.2">
      <c r="A14" s="115" t="str">
        <f>Translation!$A250</f>
        <v>Biens immobiliers</v>
      </c>
      <c r="B14" s="30"/>
      <c r="C14" s="6"/>
      <c r="D14" s="6"/>
      <c r="E14" s="12"/>
      <c r="F14" s="31">
        <v>0.18670893356000001</v>
      </c>
      <c r="G14" s="41"/>
      <c r="H14" s="42"/>
      <c r="I14" s="42"/>
      <c r="J14" s="43"/>
      <c r="K14" s="44">
        <v>0.18789</v>
      </c>
      <c r="L14" s="76"/>
      <c r="M14" s="123"/>
      <c r="N14" s="123"/>
      <c r="O14" s="124"/>
      <c r="P14" s="125">
        <v>0.17462689657589209</v>
      </c>
    </row>
    <row r="15" spans="1:16" x14ac:dyDescent="0.2">
      <c r="A15" s="115" t="str">
        <f>Translation!$A251</f>
        <v>Actions</v>
      </c>
      <c r="B15" s="30"/>
      <c r="C15" s="6"/>
      <c r="D15" s="6"/>
      <c r="E15" s="12"/>
      <c r="F15" s="31">
        <v>0.29085732682999998</v>
      </c>
      <c r="G15" s="41"/>
      <c r="H15" s="42"/>
      <c r="I15" s="42"/>
      <c r="J15" s="43"/>
      <c r="K15" s="44">
        <v>0.28992999999999997</v>
      </c>
      <c r="L15" s="76"/>
      <c r="M15" s="123"/>
      <c r="N15" s="123"/>
      <c r="O15" s="124"/>
      <c r="P15" s="125">
        <v>0.27502100412224495</v>
      </c>
    </row>
    <row r="16" spans="1:16" x14ac:dyDescent="0.2">
      <c r="A16" s="115" t="str">
        <f>Translation!$A252</f>
        <v>Placements alternatifs</v>
      </c>
      <c r="B16" s="30"/>
      <c r="C16" s="6"/>
      <c r="D16" s="6"/>
      <c r="E16" s="12"/>
      <c r="F16" s="31">
        <v>7.0807986779999998E-2</v>
      </c>
      <c r="G16" s="41"/>
      <c r="H16" s="42"/>
      <c r="I16" s="42"/>
      <c r="J16" s="43"/>
      <c r="K16" s="44">
        <v>6.701E-2</v>
      </c>
      <c r="L16" s="76"/>
      <c r="M16" s="123"/>
      <c r="N16" s="123"/>
      <c r="O16" s="124"/>
      <c r="P16" s="125">
        <v>6.4146075847356987E-2</v>
      </c>
    </row>
    <row r="17" spans="2:16" ht="12.75" hidden="1" customHeight="1" x14ac:dyDescent="0.2">
      <c r="B17" s="30"/>
      <c r="C17" s="6"/>
      <c r="D17" s="6"/>
      <c r="E17" s="12"/>
      <c r="F17" s="31"/>
      <c r="G17" s="41"/>
      <c r="H17" s="42"/>
      <c r="I17" s="42"/>
      <c r="J17" s="43"/>
      <c r="K17" s="44"/>
      <c r="L17" s="76"/>
      <c r="M17" s="123"/>
      <c r="N17" s="123"/>
      <c r="O17" s="124"/>
      <c r="P17" s="125"/>
    </row>
    <row r="18" spans="2:16" ht="12.75" hidden="1" customHeight="1" x14ac:dyDescent="0.2">
      <c r="B18" s="30"/>
      <c r="C18" s="6"/>
      <c r="D18" s="6"/>
      <c r="E18" s="12"/>
      <c r="F18" s="31"/>
      <c r="G18" s="41"/>
      <c r="H18" s="42"/>
      <c r="I18" s="42"/>
      <c r="J18" s="43"/>
      <c r="K18" s="44"/>
      <c r="L18" s="76"/>
      <c r="M18" s="123"/>
      <c r="N18" s="123"/>
      <c r="O18" s="124"/>
      <c r="P18" s="125"/>
    </row>
    <row r="19" spans="2:16" ht="12.75" hidden="1" customHeight="1" x14ac:dyDescent="0.2">
      <c r="B19" s="30"/>
      <c r="C19" s="6"/>
      <c r="D19" s="6"/>
      <c r="E19" s="12"/>
      <c r="F19" s="31"/>
      <c r="G19" s="41"/>
      <c r="H19" s="42"/>
      <c r="I19" s="42"/>
      <c r="J19" s="43"/>
      <c r="K19" s="44"/>
      <c r="L19" s="76"/>
      <c r="M19" s="123"/>
      <c r="N19" s="123"/>
      <c r="O19" s="124"/>
      <c r="P19" s="125"/>
    </row>
    <row r="20" spans="2:16" ht="12.75" hidden="1" customHeight="1" x14ac:dyDescent="0.2">
      <c r="B20" s="30"/>
      <c r="C20" s="6"/>
      <c r="D20" s="6"/>
      <c r="E20" s="12"/>
      <c r="F20" s="31"/>
      <c r="G20" s="41"/>
      <c r="H20" s="42"/>
      <c r="I20" s="42"/>
      <c r="J20" s="43"/>
      <c r="K20" s="44"/>
      <c r="L20" s="76"/>
      <c r="M20" s="123"/>
      <c r="N20" s="123"/>
      <c r="O20" s="124"/>
      <c r="P20" s="125"/>
    </row>
    <row r="21" spans="2:16" ht="12.75" hidden="1" customHeight="1" x14ac:dyDescent="0.2">
      <c r="B21" s="30"/>
      <c r="C21" s="6"/>
      <c r="D21" s="6"/>
      <c r="E21" s="12"/>
      <c r="F21" s="31"/>
      <c r="G21" s="41"/>
      <c r="H21" s="42"/>
      <c r="I21" s="42"/>
      <c r="J21" s="43"/>
      <c r="K21" s="44"/>
      <c r="L21" s="76"/>
      <c r="M21" s="123"/>
      <c r="N21" s="123"/>
      <c r="O21" s="124"/>
      <c r="P21" s="125"/>
    </row>
    <row r="22" spans="2:16" ht="12.75" hidden="1" customHeight="1" x14ac:dyDescent="0.2">
      <c r="B22" s="30"/>
      <c r="C22" s="6"/>
      <c r="D22" s="6"/>
      <c r="E22" s="12"/>
      <c r="F22" s="31"/>
      <c r="G22" s="41"/>
      <c r="H22" s="42"/>
      <c r="I22" s="42"/>
      <c r="J22" s="43"/>
      <c r="K22" s="44"/>
      <c r="L22" s="76"/>
      <c r="M22" s="123"/>
      <c r="N22" s="123"/>
      <c r="O22" s="124"/>
      <c r="P22" s="125"/>
    </row>
    <row r="23" spans="2:16" ht="12.75" hidden="1" customHeight="1" x14ac:dyDescent="0.2">
      <c r="B23" s="30"/>
      <c r="C23" s="6"/>
      <c r="D23" s="6"/>
      <c r="E23" s="12"/>
      <c r="F23" s="31"/>
      <c r="G23" s="41"/>
      <c r="H23" s="42"/>
      <c r="I23" s="42"/>
      <c r="J23" s="43"/>
      <c r="K23" s="44"/>
      <c r="L23" s="76"/>
      <c r="M23" s="123"/>
      <c r="N23" s="123"/>
      <c r="O23" s="124"/>
      <c r="P23" s="125"/>
    </row>
    <row r="24" spans="2:16" ht="12.75" hidden="1" customHeight="1" x14ac:dyDescent="0.2">
      <c r="B24" s="30"/>
      <c r="C24" s="6"/>
      <c r="D24" s="6"/>
      <c r="E24" s="12"/>
      <c r="F24" s="31"/>
      <c r="G24" s="41"/>
      <c r="H24" s="42"/>
      <c r="I24" s="42"/>
      <c r="J24" s="43"/>
      <c r="K24" s="44"/>
      <c r="L24" s="76"/>
      <c r="M24" s="123"/>
      <c r="N24" s="123"/>
      <c r="O24" s="124"/>
      <c r="P24" s="125"/>
    </row>
    <row r="25" spans="2:16" ht="12.75" hidden="1" customHeight="1" x14ac:dyDescent="0.2">
      <c r="B25" s="30"/>
      <c r="C25" s="6"/>
      <c r="D25" s="6"/>
      <c r="E25" s="12"/>
      <c r="F25" s="31"/>
      <c r="G25" s="41"/>
      <c r="H25" s="42"/>
      <c r="I25" s="42"/>
      <c r="J25" s="43"/>
      <c r="K25" s="44"/>
      <c r="L25" s="76"/>
      <c r="M25" s="123"/>
      <c r="N25" s="123"/>
      <c r="O25" s="124"/>
      <c r="P25" s="125"/>
    </row>
    <row r="26" spans="2:16" ht="12.75" hidden="1" customHeight="1" x14ac:dyDescent="0.2">
      <c r="B26" s="30"/>
      <c r="C26" s="6"/>
      <c r="D26" s="6"/>
      <c r="E26" s="12"/>
      <c r="F26" s="31"/>
      <c r="G26" s="41"/>
      <c r="H26" s="42"/>
      <c r="I26" s="42"/>
      <c r="J26" s="43"/>
      <c r="K26" s="44"/>
      <c r="L26" s="76"/>
      <c r="M26" s="123"/>
      <c r="N26" s="123"/>
      <c r="O26" s="124"/>
      <c r="P26" s="125"/>
    </row>
    <row r="27" spans="2:16" ht="12.75" hidden="1" customHeight="1" x14ac:dyDescent="0.2">
      <c r="B27" s="30"/>
      <c r="C27" s="6"/>
      <c r="D27" s="6"/>
      <c r="E27" s="12"/>
      <c r="F27" s="31"/>
      <c r="G27" s="41"/>
      <c r="H27" s="42"/>
      <c r="I27" s="42"/>
      <c r="J27" s="43"/>
      <c r="K27" s="44"/>
      <c r="L27" s="76"/>
      <c r="M27" s="123"/>
      <c r="N27" s="123"/>
      <c r="O27" s="124"/>
      <c r="P27" s="125"/>
    </row>
    <row r="28" spans="2:16" ht="12.75" hidden="1" customHeight="1" x14ac:dyDescent="0.2">
      <c r="B28" s="30"/>
      <c r="C28" s="6"/>
      <c r="D28" s="6"/>
      <c r="E28" s="12"/>
      <c r="F28" s="31"/>
      <c r="G28" s="41"/>
      <c r="H28" s="42"/>
      <c r="I28" s="42"/>
      <c r="J28" s="43"/>
      <c r="K28" s="44"/>
      <c r="L28" s="76"/>
      <c r="M28" s="123"/>
      <c r="N28" s="123"/>
      <c r="O28" s="124"/>
      <c r="P28" s="125"/>
    </row>
    <row r="29" spans="2:16" ht="12.75" hidden="1" customHeight="1" x14ac:dyDescent="0.2">
      <c r="B29" s="30"/>
      <c r="C29" s="6"/>
      <c r="D29" s="6"/>
      <c r="E29" s="12"/>
      <c r="F29" s="31"/>
      <c r="G29" s="41"/>
      <c r="H29" s="42"/>
      <c r="I29" s="42"/>
      <c r="J29" s="43"/>
      <c r="K29" s="44"/>
      <c r="L29" s="76"/>
      <c r="M29" s="123"/>
      <c r="N29" s="123"/>
      <c r="O29" s="124"/>
      <c r="P29" s="125"/>
    </row>
    <row r="30" spans="2:16" ht="12.75" hidden="1" customHeight="1" x14ac:dyDescent="0.2">
      <c r="B30" s="30"/>
      <c r="C30" s="6"/>
      <c r="D30" s="6"/>
      <c r="E30" s="12"/>
      <c r="F30" s="31"/>
      <c r="G30" s="41"/>
      <c r="H30" s="42"/>
      <c r="I30" s="42"/>
      <c r="J30" s="43"/>
      <c r="K30" s="44"/>
      <c r="L30" s="76"/>
      <c r="M30" s="123"/>
      <c r="N30" s="123"/>
      <c r="O30" s="124"/>
      <c r="P30" s="125"/>
    </row>
    <row r="31" spans="2:16" ht="12.75" hidden="1" customHeight="1" x14ac:dyDescent="0.2">
      <c r="B31" s="30"/>
      <c r="C31" s="6"/>
      <c r="D31" s="6"/>
      <c r="E31" s="12"/>
      <c r="F31" s="31"/>
      <c r="G31" s="41"/>
      <c r="H31" s="42"/>
      <c r="I31" s="42"/>
      <c r="J31" s="43"/>
      <c r="K31" s="44"/>
      <c r="L31" s="76"/>
      <c r="M31" s="123"/>
      <c r="N31" s="123"/>
      <c r="O31" s="124"/>
      <c r="P31" s="125"/>
    </row>
    <row r="32" spans="2:16" ht="12.75" hidden="1" customHeight="1" x14ac:dyDescent="0.2">
      <c r="B32" s="30"/>
      <c r="C32" s="6"/>
      <c r="D32" s="6"/>
      <c r="E32" s="12"/>
      <c r="F32" s="31"/>
      <c r="G32" s="41"/>
      <c r="H32" s="42"/>
      <c r="I32" s="42"/>
      <c r="J32" s="43"/>
      <c r="K32" s="44"/>
      <c r="L32" s="76"/>
      <c r="M32" s="123"/>
      <c r="N32" s="123"/>
      <c r="O32" s="124"/>
      <c r="P32" s="125"/>
    </row>
    <row r="33" spans="1:16" ht="12.75" hidden="1" customHeight="1" x14ac:dyDescent="0.2">
      <c r="B33" s="30"/>
      <c r="C33" s="6"/>
      <c r="D33" s="6"/>
      <c r="E33" s="12"/>
      <c r="F33" s="31"/>
      <c r="G33" s="41"/>
      <c r="H33" s="42"/>
      <c r="I33" s="42"/>
      <c r="J33" s="43"/>
      <c r="K33" s="44"/>
      <c r="L33" s="76"/>
      <c r="M33" s="123"/>
      <c r="N33" s="123"/>
      <c r="O33" s="124"/>
      <c r="P33" s="125"/>
    </row>
    <row r="34" spans="1:16" ht="12.75" hidden="1" customHeight="1" x14ac:dyDescent="0.2">
      <c r="B34" s="30"/>
      <c r="C34" s="6"/>
      <c r="D34" s="6"/>
      <c r="E34" s="12"/>
      <c r="F34" s="31"/>
      <c r="G34" s="41"/>
      <c r="H34" s="42"/>
      <c r="I34" s="42"/>
      <c r="J34" s="43"/>
      <c r="K34" s="44"/>
      <c r="L34" s="76"/>
      <c r="M34" s="123"/>
      <c r="N34" s="123"/>
      <c r="O34" s="124"/>
      <c r="P34" s="125"/>
    </row>
    <row r="35" spans="1:16" ht="12.75" hidden="1" customHeight="1" x14ac:dyDescent="0.2">
      <c r="B35" s="30"/>
      <c r="C35" s="6"/>
      <c r="D35" s="6"/>
      <c r="E35" s="12"/>
      <c r="F35" s="31"/>
      <c r="G35" s="41"/>
      <c r="H35" s="42"/>
      <c r="I35" s="42"/>
      <c r="J35" s="43"/>
      <c r="K35" s="44"/>
      <c r="L35" s="76"/>
      <c r="M35" s="123"/>
      <c r="N35" s="123"/>
      <c r="O35" s="124"/>
      <c r="P35" s="125"/>
    </row>
    <row r="36" spans="1:16" x14ac:dyDescent="0.2">
      <c r="A36" s="116" t="s">
        <v>2</v>
      </c>
      <c r="B36" s="32">
        <f>SUM(B$12:B$35)</f>
        <v>0</v>
      </c>
      <c r="C36" s="7">
        <f t="shared" ref="C36:E36" si="0">SUM(C$12:C$35)</f>
        <v>0</v>
      </c>
      <c r="D36" s="7">
        <f t="shared" si="0"/>
        <v>0</v>
      </c>
      <c r="E36" s="13">
        <f t="shared" si="0"/>
        <v>0</v>
      </c>
      <c r="F36" s="64">
        <f>SUM(F$12:F$35)</f>
        <v>0.99999999999900002</v>
      </c>
      <c r="G36" s="45">
        <f t="shared" ref="G36:J36" si="1">SUM(G$12:G$35)</f>
        <v>0</v>
      </c>
      <c r="H36" s="65">
        <f t="shared" si="1"/>
        <v>0</v>
      </c>
      <c r="I36" s="65">
        <f t="shared" si="1"/>
        <v>0</v>
      </c>
      <c r="J36" s="46">
        <f t="shared" si="1"/>
        <v>0</v>
      </c>
      <c r="K36" s="66">
        <f t="shared" ref="K36:O36" si="2">SUM(K$12:K$35)</f>
        <v>1</v>
      </c>
      <c r="L36" s="77">
        <f t="shared" si="2"/>
        <v>0</v>
      </c>
      <c r="M36" s="126">
        <f t="shared" si="2"/>
        <v>0</v>
      </c>
      <c r="N36" s="126">
        <f t="shared" si="2"/>
        <v>0</v>
      </c>
      <c r="O36" s="127">
        <f t="shared" si="2"/>
        <v>0</v>
      </c>
      <c r="P36" s="128">
        <f>SUM(P$12:P$35)</f>
        <v>0.99999999999999989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institutions de prévoyance sans garantie étatique</v>
      </c>
    </row>
    <row r="52" spans="1:16" x14ac:dyDescent="0.2">
      <c r="A52" s="115" t="str">
        <f>$A$12</f>
        <v>Liquidités</v>
      </c>
      <c r="B52" s="33"/>
      <c r="C52" s="8"/>
      <c r="D52" s="8"/>
      <c r="E52" s="14"/>
      <c r="F52" s="34">
        <v>4.6726675087E-2</v>
      </c>
      <c r="G52" s="47"/>
      <c r="H52" s="48"/>
      <c r="I52" s="48"/>
      <c r="J52" s="49"/>
      <c r="K52" s="50">
        <v>3.9269999999999999E-2</v>
      </c>
      <c r="L52" s="129"/>
      <c r="M52" s="130"/>
      <c r="N52" s="130"/>
      <c r="O52" s="131"/>
      <c r="P52" s="132">
        <v>4.4981228662629373E-2</v>
      </c>
    </row>
    <row r="53" spans="1:16" x14ac:dyDescent="0.2">
      <c r="A53" s="115" t="str">
        <f>$A$13</f>
        <v>Créances</v>
      </c>
      <c r="B53" s="33"/>
      <c r="C53" s="8"/>
      <c r="D53" s="8"/>
      <c r="E53" s="14"/>
      <c r="F53" s="34">
        <v>0.40961842213999999</v>
      </c>
      <c r="G53" s="47"/>
      <c r="H53" s="48"/>
      <c r="I53" s="48"/>
      <c r="J53" s="49"/>
      <c r="K53" s="50">
        <v>0.42237999999999998</v>
      </c>
      <c r="L53" s="129"/>
      <c r="M53" s="130"/>
      <c r="N53" s="130"/>
      <c r="O53" s="131"/>
      <c r="P53" s="132">
        <v>0.45171251598547602</v>
      </c>
    </row>
    <row r="54" spans="1:16" x14ac:dyDescent="0.2">
      <c r="A54" s="115" t="str">
        <f>$A$14</f>
        <v>Biens immobiliers</v>
      </c>
      <c r="B54" s="33"/>
      <c r="C54" s="8"/>
      <c r="D54" s="8"/>
      <c r="E54" s="14"/>
      <c r="F54" s="34">
        <v>0.18015996804000001</v>
      </c>
      <c r="G54" s="47"/>
      <c r="H54" s="48"/>
      <c r="I54" s="48"/>
      <c r="J54" s="49"/>
      <c r="K54" s="50">
        <v>0.18039000000000002</v>
      </c>
      <c r="L54" s="129"/>
      <c r="M54" s="130"/>
      <c r="N54" s="130"/>
      <c r="O54" s="131"/>
      <c r="P54" s="132">
        <v>0.16526940424858516</v>
      </c>
    </row>
    <row r="55" spans="1:16" x14ac:dyDescent="0.2">
      <c r="A55" s="115" t="str">
        <f>$A$15</f>
        <v>Actions</v>
      </c>
      <c r="B55" s="33"/>
      <c r="C55" s="8"/>
      <c r="D55" s="8"/>
      <c r="E55" s="14"/>
      <c r="F55" s="34">
        <v>0.28989406133000001</v>
      </c>
      <c r="G55" s="47"/>
      <c r="H55" s="48"/>
      <c r="I55" s="48"/>
      <c r="J55" s="49"/>
      <c r="K55" s="50">
        <v>0.28931000000000001</v>
      </c>
      <c r="L55" s="129"/>
      <c r="M55" s="130"/>
      <c r="N55" s="130"/>
      <c r="O55" s="131"/>
      <c r="P55" s="132">
        <v>0.27217940108069133</v>
      </c>
    </row>
    <row r="56" spans="1:16" x14ac:dyDescent="0.2">
      <c r="A56" s="115" t="str">
        <f>$A$16</f>
        <v>Placements alternatifs</v>
      </c>
      <c r="B56" s="33"/>
      <c r="C56" s="8"/>
      <c r="D56" s="8"/>
      <c r="E56" s="14"/>
      <c r="F56" s="34">
        <v>7.3600873400999994E-2</v>
      </c>
      <c r="G56" s="47"/>
      <c r="H56" s="48"/>
      <c r="I56" s="48"/>
      <c r="J56" s="49"/>
      <c r="K56" s="50">
        <v>6.8650000000000003E-2</v>
      </c>
      <c r="L56" s="129"/>
      <c r="M56" s="130"/>
      <c r="N56" s="130"/>
      <c r="O56" s="131"/>
      <c r="P56" s="132">
        <v>6.58574500226181E-2</v>
      </c>
    </row>
    <row r="57" spans="1:16" ht="12.75" hidden="1" customHeight="1" x14ac:dyDescent="0.2">
      <c r="A57" s="115">
        <f>$A$17</f>
        <v>0</v>
      </c>
      <c r="B57" s="33"/>
      <c r="C57" s="8"/>
      <c r="D57" s="8"/>
      <c r="E57" s="14"/>
      <c r="F57" s="34"/>
      <c r="G57" s="47"/>
      <c r="H57" s="48"/>
      <c r="I57" s="48"/>
      <c r="J57" s="49"/>
      <c r="K57" s="50"/>
      <c r="L57" s="129"/>
      <c r="M57" s="130"/>
      <c r="N57" s="130"/>
      <c r="O57" s="131"/>
      <c r="P57" s="132"/>
    </row>
    <row r="58" spans="1:16" ht="12.75" hidden="1" customHeight="1" x14ac:dyDescent="0.2">
      <c r="A58" s="115">
        <f>$A$18</f>
        <v>0</v>
      </c>
      <c r="B58" s="33"/>
      <c r="C58" s="8"/>
      <c r="D58" s="8"/>
      <c r="E58" s="14"/>
      <c r="F58" s="34"/>
      <c r="G58" s="47"/>
      <c r="H58" s="48"/>
      <c r="I58" s="48"/>
      <c r="J58" s="49"/>
      <c r="K58" s="50"/>
      <c r="L58" s="129"/>
      <c r="M58" s="130"/>
      <c r="N58" s="130"/>
      <c r="O58" s="131"/>
      <c r="P58" s="132"/>
    </row>
    <row r="59" spans="1:16" ht="12.75" hidden="1" customHeight="1" x14ac:dyDescent="0.2">
      <c r="A59" s="115">
        <f>$A$19</f>
        <v>0</v>
      </c>
      <c r="B59" s="33"/>
      <c r="C59" s="8"/>
      <c r="D59" s="8"/>
      <c r="E59" s="14"/>
      <c r="F59" s="34"/>
      <c r="G59" s="47"/>
      <c r="H59" s="48"/>
      <c r="I59" s="48"/>
      <c r="J59" s="49"/>
      <c r="K59" s="50"/>
      <c r="L59" s="129"/>
      <c r="M59" s="130"/>
      <c r="N59" s="130"/>
      <c r="O59" s="131"/>
      <c r="P59" s="132"/>
    </row>
    <row r="60" spans="1:16" ht="12.75" hidden="1" customHeight="1" x14ac:dyDescent="0.2">
      <c r="A60" s="115">
        <f>$A$20</f>
        <v>0</v>
      </c>
      <c r="B60" s="33"/>
      <c r="C60" s="8"/>
      <c r="D60" s="8"/>
      <c r="E60" s="14"/>
      <c r="F60" s="34"/>
      <c r="G60" s="47"/>
      <c r="H60" s="48"/>
      <c r="I60" s="48"/>
      <c r="J60" s="49"/>
      <c r="K60" s="50"/>
      <c r="L60" s="129"/>
      <c r="M60" s="130"/>
      <c r="N60" s="130"/>
      <c r="O60" s="131"/>
      <c r="P60" s="132"/>
    </row>
    <row r="61" spans="1:16" ht="12.75" hidden="1" customHeight="1" x14ac:dyDescent="0.2">
      <c r="A61" s="115">
        <f>$A$21</f>
        <v>0</v>
      </c>
      <c r="B61" s="33"/>
      <c r="C61" s="8"/>
      <c r="D61" s="8"/>
      <c r="E61" s="14"/>
      <c r="F61" s="34"/>
      <c r="G61" s="47"/>
      <c r="H61" s="48"/>
      <c r="I61" s="48"/>
      <c r="J61" s="49"/>
      <c r="K61" s="50"/>
      <c r="L61" s="129"/>
      <c r="M61" s="130"/>
      <c r="N61" s="130"/>
      <c r="O61" s="131"/>
      <c r="P61" s="132"/>
    </row>
    <row r="62" spans="1:16" ht="12.75" hidden="1" customHeight="1" x14ac:dyDescent="0.2">
      <c r="A62" s="115">
        <f>$A$22</f>
        <v>0</v>
      </c>
      <c r="B62" s="33"/>
      <c r="C62" s="8"/>
      <c r="D62" s="8"/>
      <c r="E62" s="14"/>
      <c r="F62" s="34"/>
      <c r="G62" s="47"/>
      <c r="H62" s="48"/>
      <c r="I62" s="48"/>
      <c r="J62" s="49"/>
      <c r="K62" s="50"/>
      <c r="L62" s="129"/>
      <c r="M62" s="130"/>
      <c r="N62" s="130"/>
      <c r="O62" s="131"/>
      <c r="P62" s="132"/>
    </row>
    <row r="63" spans="1:16" ht="12.75" hidden="1" customHeight="1" x14ac:dyDescent="0.2">
      <c r="A63" s="115">
        <f>$A$23</f>
        <v>0</v>
      </c>
      <c r="B63" s="33"/>
      <c r="C63" s="8"/>
      <c r="D63" s="8"/>
      <c r="E63" s="14"/>
      <c r="F63" s="34"/>
      <c r="G63" s="47"/>
      <c r="H63" s="48"/>
      <c r="I63" s="48"/>
      <c r="J63" s="49"/>
      <c r="K63" s="50"/>
      <c r="L63" s="129"/>
      <c r="M63" s="130"/>
      <c r="N63" s="130"/>
      <c r="O63" s="131"/>
      <c r="P63" s="132"/>
    </row>
    <row r="64" spans="1:16" ht="12.75" hidden="1" customHeight="1" x14ac:dyDescent="0.2">
      <c r="A64" s="115">
        <f>$A$24</f>
        <v>0</v>
      </c>
      <c r="B64" s="33"/>
      <c r="C64" s="8"/>
      <c r="D64" s="8"/>
      <c r="E64" s="14"/>
      <c r="F64" s="34"/>
      <c r="G64" s="47"/>
      <c r="H64" s="48"/>
      <c r="I64" s="48"/>
      <c r="J64" s="49"/>
      <c r="K64" s="50"/>
      <c r="L64" s="129"/>
      <c r="M64" s="130"/>
      <c r="N64" s="130"/>
      <c r="O64" s="131"/>
      <c r="P64" s="132"/>
    </row>
    <row r="65" spans="1:16" ht="12.75" hidden="1" customHeight="1" x14ac:dyDescent="0.2">
      <c r="A65" s="115">
        <f>$A$25</f>
        <v>0</v>
      </c>
      <c r="B65" s="33"/>
      <c r="C65" s="8"/>
      <c r="D65" s="8"/>
      <c r="E65" s="14"/>
      <c r="F65" s="34"/>
      <c r="G65" s="47"/>
      <c r="H65" s="48"/>
      <c r="I65" s="48"/>
      <c r="J65" s="49"/>
      <c r="K65" s="50"/>
      <c r="L65" s="129"/>
      <c r="M65" s="130"/>
      <c r="N65" s="130"/>
      <c r="O65" s="131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4"/>
      <c r="F66" s="34"/>
      <c r="G66" s="47"/>
      <c r="H66" s="48"/>
      <c r="I66" s="48"/>
      <c r="J66" s="49"/>
      <c r="K66" s="50"/>
      <c r="L66" s="129"/>
      <c r="M66" s="130"/>
      <c r="N66" s="130"/>
      <c r="O66" s="131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4"/>
      <c r="F67" s="34"/>
      <c r="G67" s="47"/>
      <c r="H67" s="48"/>
      <c r="I67" s="48"/>
      <c r="J67" s="49"/>
      <c r="K67" s="50"/>
      <c r="L67" s="129"/>
      <c r="M67" s="130"/>
      <c r="N67" s="130"/>
      <c r="O67" s="131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4"/>
      <c r="F68" s="34"/>
      <c r="G68" s="47"/>
      <c r="H68" s="48"/>
      <c r="I68" s="48"/>
      <c r="J68" s="49"/>
      <c r="K68" s="50"/>
      <c r="L68" s="129"/>
      <c r="M68" s="130"/>
      <c r="N68" s="130"/>
      <c r="O68" s="131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4"/>
      <c r="F69" s="34"/>
      <c r="G69" s="47"/>
      <c r="H69" s="48"/>
      <c r="I69" s="48"/>
      <c r="J69" s="49"/>
      <c r="K69" s="50"/>
      <c r="L69" s="129"/>
      <c r="M69" s="130"/>
      <c r="N69" s="130"/>
      <c r="O69" s="131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4"/>
      <c r="F70" s="34"/>
      <c r="G70" s="47"/>
      <c r="H70" s="48"/>
      <c r="I70" s="48"/>
      <c r="J70" s="49"/>
      <c r="K70" s="50"/>
      <c r="L70" s="129"/>
      <c r="M70" s="130"/>
      <c r="N70" s="130"/>
      <c r="O70" s="131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4"/>
      <c r="F71" s="34"/>
      <c r="G71" s="47"/>
      <c r="H71" s="48"/>
      <c r="I71" s="48"/>
      <c r="J71" s="49"/>
      <c r="K71" s="50"/>
      <c r="L71" s="129"/>
      <c r="M71" s="130"/>
      <c r="N71" s="130"/>
      <c r="O71" s="131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4"/>
      <c r="F72" s="34"/>
      <c r="G72" s="47"/>
      <c r="H72" s="48"/>
      <c r="I72" s="48"/>
      <c r="J72" s="49"/>
      <c r="K72" s="50"/>
      <c r="L72" s="129"/>
      <c r="M72" s="130"/>
      <c r="N72" s="130"/>
      <c r="O72" s="131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4"/>
      <c r="F73" s="34"/>
      <c r="G73" s="47"/>
      <c r="H73" s="48"/>
      <c r="I73" s="48"/>
      <c r="J73" s="49"/>
      <c r="K73" s="50"/>
      <c r="L73" s="129"/>
      <c r="M73" s="130"/>
      <c r="N73" s="130"/>
      <c r="O73" s="131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4"/>
      <c r="F74" s="34"/>
      <c r="G74" s="47"/>
      <c r="H74" s="48"/>
      <c r="I74" s="48"/>
      <c r="J74" s="49"/>
      <c r="K74" s="50"/>
      <c r="L74" s="129"/>
      <c r="M74" s="130"/>
      <c r="N74" s="130"/>
      <c r="O74" s="131"/>
      <c r="P74" s="132"/>
    </row>
    <row r="75" spans="1:16" ht="12.75" hidden="1" customHeight="1" x14ac:dyDescent="0.2">
      <c r="B75" s="33"/>
      <c r="C75" s="8"/>
      <c r="D75" s="8"/>
      <c r="E75" s="14"/>
      <c r="F75" s="34"/>
      <c r="G75" s="47"/>
      <c r="H75" s="48"/>
      <c r="I75" s="48"/>
      <c r="J75" s="49"/>
      <c r="K75" s="50"/>
      <c r="L75" s="129"/>
      <c r="M75" s="130"/>
      <c r="N75" s="130"/>
      <c r="O75" s="131"/>
      <c r="P75" s="132"/>
    </row>
    <row r="76" spans="1:16" x14ac:dyDescent="0.2">
      <c r="A76" s="116" t="s">
        <v>2</v>
      </c>
      <c r="B76" s="35">
        <f>SUM(B$52:B$75)</f>
        <v>0</v>
      </c>
      <c r="C76" s="9">
        <f>SUM(C$52:C$75)</f>
        <v>0</v>
      </c>
      <c r="D76" s="9">
        <f>SUM(D$52:D$75)</f>
        <v>0</v>
      </c>
      <c r="E76" s="15">
        <f>SUM(E$52:E$75)</f>
        <v>0</v>
      </c>
      <c r="F76" s="67">
        <f t="shared" ref="F76:J76" si="3">SUM(F$52:F$75)</f>
        <v>0.99999999999799993</v>
      </c>
      <c r="G76" s="51">
        <f t="shared" si="3"/>
        <v>0</v>
      </c>
      <c r="H76" s="68">
        <f t="shared" si="3"/>
        <v>0</v>
      </c>
      <c r="I76" s="68">
        <f t="shared" si="3"/>
        <v>0</v>
      </c>
      <c r="J76" s="52">
        <f t="shared" si="3"/>
        <v>0</v>
      </c>
      <c r="K76" s="69">
        <f t="shared" ref="K76:O76" si="4">SUM(K$52:K$75)</f>
        <v>1.0000000000000002</v>
      </c>
      <c r="L76" s="133">
        <f t="shared" si="4"/>
        <v>0</v>
      </c>
      <c r="M76" s="134">
        <f t="shared" si="4"/>
        <v>0</v>
      </c>
      <c r="N76" s="134">
        <f t="shared" si="4"/>
        <v>0</v>
      </c>
      <c r="O76" s="135">
        <f t="shared" si="4"/>
        <v>0</v>
      </c>
      <c r="P76" s="136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institutions de prévoyance avec garantie étatique</v>
      </c>
    </row>
    <row r="92" spans="1:16" x14ac:dyDescent="0.2">
      <c r="A92" s="115" t="str">
        <f>$A$12</f>
        <v>Liquidités</v>
      </c>
      <c r="B92" s="36"/>
      <c r="C92" s="10"/>
      <c r="D92" s="10"/>
      <c r="E92" s="16"/>
      <c r="F92" s="37">
        <v>4.2795893230999998E-2</v>
      </c>
      <c r="G92" s="53"/>
      <c r="H92" s="54"/>
      <c r="I92" s="54"/>
      <c r="J92" s="55"/>
      <c r="K92" s="56">
        <v>3.968E-2</v>
      </c>
      <c r="L92" s="137"/>
      <c r="M92" s="138"/>
      <c r="N92" s="138"/>
      <c r="O92" s="139"/>
      <c r="P92" s="140">
        <v>3.8072469934363154E-2</v>
      </c>
    </row>
    <row r="93" spans="1:16" x14ac:dyDescent="0.2">
      <c r="A93" s="115" t="str">
        <f>$A$13</f>
        <v>Créances</v>
      </c>
      <c r="B93" s="36"/>
      <c r="C93" s="10"/>
      <c r="D93" s="10"/>
      <c r="E93" s="16"/>
      <c r="F93" s="37">
        <v>0.37935988461000003</v>
      </c>
      <c r="G93" s="53"/>
      <c r="H93" s="54"/>
      <c r="I93" s="54"/>
      <c r="J93" s="55"/>
      <c r="K93" s="56">
        <v>0.37837999999999999</v>
      </c>
      <c r="L93" s="137"/>
      <c r="M93" s="138"/>
      <c r="N93" s="138"/>
      <c r="O93" s="139"/>
      <c r="P93" s="140">
        <v>0.38716371354356838</v>
      </c>
    </row>
    <row r="94" spans="1:16" x14ac:dyDescent="0.2">
      <c r="A94" s="115" t="str">
        <f>$A$14</f>
        <v>Biens immobiliers</v>
      </c>
      <c r="B94" s="36"/>
      <c r="C94" s="10"/>
      <c r="D94" s="10"/>
      <c r="E94" s="16"/>
      <c r="F94" s="37">
        <v>0.22760398883999999</v>
      </c>
      <c r="G94" s="53"/>
      <c r="H94" s="54"/>
      <c r="I94" s="54"/>
      <c r="J94" s="55"/>
      <c r="K94" s="56">
        <v>0.23083999999999999</v>
      </c>
      <c r="L94" s="137"/>
      <c r="M94" s="138"/>
      <c r="N94" s="138"/>
      <c r="O94" s="139"/>
      <c r="P94" s="140">
        <v>0.22902620785107253</v>
      </c>
    </row>
    <row r="95" spans="1:16" x14ac:dyDescent="0.2">
      <c r="A95" s="115" t="str">
        <f>$A$15</f>
        <v>Actions</v>
      </c>
      <c r="B95" s="36"/>
      <c r="C95" s="10"/>
      <c r="D95" s="10"/>
      <c r="E95" s="16"/>
      <c r="F95" s="37">
        <v>0.29687244413999997</v>
      </c>
      <c r="G95" s="53"/>
      <c r="H95" s="54"/>
      <c r="I95" s="54"/>
      <c r="J95" s="55"/>
      <c r="K95" s="56">
        <v>0.29344999999999999</v>
      </c>
      <c r="L95" s="137"/>
      <c r="M95" s="138"/>
      <c r="N95" s="138"/>
      <c r="O95" s="139"/>
      <c r="P95" s="140">
        <v>0.29154052056650426</v>
      </c>
    </row>
    <row r="96" spans="1:16" x14ac:dyDescent="0.2">
      <c r="A96" s="115" t="str">
        <f>$A$16</f>
        <v>Placements alternatifs</v>
      </c>
      <c r="B96" s="36"/>
      <c r="C96" s="10"/>
      <c r="D96" s="10"/>
      <c r="E96" s="16"/>
      <c r="F96" s="37">
        <v>5.3367789185E-2</v>
      </c>
      <c r="G96" s="53"/>
      <c r="H96" s="54"/>
      <c r="I96" s="54"/>
      <c r="J96" s="55"/>
      <c r="K96" s="56">
        <v>5.7640000000000004E-2</v>
      </c>
      <c r="L96" s="137"/>
      <c r="M96" s="138"/>
      <c r="N96" s="138"/>
      <c r="O96" s="139"/>
      <c r="P96" s="140">
        <v>5.41970881044916E-2</v>
      </c>
    </row>
    <row r="97" spans="1:16" ht="12.75" hidden="1" customHeight="1" x14ac:dyDescent="0.2">
      <c r="A97" s="115">
        <f>$A$17</f>
        <v>0</v>
      </c>
      <c r="B97" s="36"/>
      <c r="C97" s="10"/>
      <c r="D97" s="10"/>
      <c r="E97" s="16"/>
      <c r="F97" s="37"/>
      <c r="G97" s="53"/>
      <c r="H97" s="54"/>
      <c r="I97" s="54"/>
      <c r="J97" s="55"/>
      <c r="K97" s="56"/>
      <c r="L97" s="137"/>
      <c r="M97" s="138"/>
      <c r="N97" s="138"/>
      <c r="O97" s="139"/>
      <c r="P97" s="140"/>
    </row>
    <row r="98" spans="1:16" ht="12.75" hidden="1" customHeight="1" x14ac:dyDescent="0.2">
      <c r="A98" s="115">
        <f>$A$18</f>
        <v>0</v>
      </c>
      <c r="B98" s="36"/>
      <c r="C98" s="10"/>
      <c r="D98" s="10"/>
      <c r="E98" s="16"/>
      <c r="F98" s="37"/>
      <c r="G98" s="53"/>
      <c r="H98" s="54"/>
      <c r="I98" s="54"/>
      <c r="J98" s="55"/>
      <c r="K98" s="56"/>
      <c r="L98" s="137"/>
      <c r="M98" s="138"/>
      <c r="N98" s="138"/>
      <c r="O98" s="139"/>
      <c r="P98" s="140"/>
    </row>
    <row r="99" spans="1:16" ht="12.75" hidden="1" customHeight="1" x14ac:dyDescent="0.2">
      <c r="A99" s="115">
        <f>$A$19</f>
        <v>0</v>
      </c>
      <c r="B99" s="36"/>
      <c r="C99" s="10"/>
      <c r="D99" s="10"/>
      <c r="E99" s="16"/>
      <c r="F99" s="37"/>
      <c r="G99" s="53"/>
      <c r="H99" s="54"/>
      <c r="I99" s="54"/>
      <c r="J99" s="55"/>
      <c r="K99" s="56"/>
      <c r="L99" s="137"/>
      <c r="M99" s="138"/>
      <c r="N99" s="138"/>
      <c r="O99" s="139"/>
      <c r="P99" s="140"/>
    </row>
    <row r="100" spans="1:16" ht="12.75" hidden="1" customHeight="1" x14ac:dyDescent="0.2">
      <c r="A100" s="115">
        <f>$A$20</f>
        <v>0</v>
      </c>
      <c r="B100" s="36"/>
      <c r="C100" s="10"/>
      <c r="D100" s="10"/>
      <c r="E100" s="16"/>
      <c r="F100" s="37"/>
      <c r="G100" s="53"/>
      <c r="H100" s="54"/>
      <c r="I100" s="54"/>
      <c r="J100" s="55"/>
      <c r="K100" s="56"/>
      <c r="L100" s="137"/>
      <c r="M100" s="138"/>
      <c r="N100" s="138"/>
      <c r="O100" s="139"/>
      <c r="P100" s="140"/>
    </row>
    <row r="101" spans="1:16" ht="12.75" hidden="1" customHeight="1" x14ac:dyDescent="0.2">
      <c r="A101" s="115">
        <f>$A$21</f>
        <v>0</v>
      </c>
      <c r="B101" s="36"/>
      <c r="C101" s="10"/>
      <c r="D101" s="10"/>
      <c r="E101" s="16"/>
      <c r="F101" s="37"/>
      <c r="G101" s="53"/>
      <c r="H101" s="54"/>
      <c r="I101" s="54"/>
      <c r="J101" s="55"/>
      <c r="K101" s="56"/>
      <c r="L101" s="137"/>
      <c r="M101" s="138"/>
      <c r="N101" s="138"/>
      <c r="O101" s="139"/>
      <c r="P101" s="140"/>
    </row>
    <row r="102" spans="1:16" ht="12.75" hidden="1" customHeight="1" x14ac:dyDescent="0.2">
      <c r="A102" s="115">
        <f>$A$22</f>
        <v>0</v>
      </c>
      <c r="B102" s="36"/>
      <c r="C102" s="10"/>
      <c r="D102" s="10"/>
      <c r="E102" s="16"/>
      <c r="F102" s="37"/>
      <c r="G102" s="53"/>
      <c r="H102" s="54"/>
      <c r="I102" s="54"/>
      <c r="J102" s="55"/>
      <c r="K102" s="56"/>
      <c r="L102" s="137"/>
      <c r="M102" s="138"/>
      <c r="N102" s="138"/>
      <c r="O102" s="139"/>
      <c r="P102" s="140"/>
    </row>
    <row r="103" spans="1:16" ht="12.75" hidden="1" customHeight="1" x14ac:dyDescent="0.2">
      <c r="A103" s="115">
        <f>$A$23</f>
        <v>0</v>
      </c>
      <c r="B103" s="36"/>
      <c r="C103" s="10"/>
      <c r="D103" s="10"/>
      <c r="E103" s="16"/>
      <c r="F103" s="37"/>
      <c r="G103" s="53"/>
      <c r="H103" s="54"/>
      <c r="I103" s="54"/>
      <c r="J103" s="55"/>
      <c r="K103" s="56"/>
      <c r="L103" s="137"/>
      <c r="M103" s="138"/>
      <c r="N103" s="138"/>
      <c r="O103" s="139"/>
      <c r="P103" s="140"/>
    </row>
    <row r="104" spans="1:16" ht="12.75" hidden="1" customHeight="1" x14ac:dyDescent="0.2">
      <c r="A104" s="115">
        <f>$A$24</f>
        <v>0</v>
      </c>
      <c r="B104" s="36"/>
      <c r="C104" s="10"/>
      <c r="D104" s="10"/>
      <c r="E104" s="16"/>
      <c r="F104" s="37"/>
      <c r="G104" s="53"/>
      <c r="H104" s="54"/>
      <c r="I104" s="54"/>
      <c r="J104" s="55"/>
      <c r="K104" s="56"/>
      <c r="L104" s="137"/>
      <c r="M104" s="138"/>
      <c r="N104" s="138"/>
      <c r="O104" s="139"/>
      <c r="P104" s="140"/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6"/>
      <c r="F105" s="37"/>
      <c r="G105" s="53"/>
      <c r="H105" s="54"/>
      <c r="I105" s="54"/>
      <c r="J105" s="55"/>
      <c r="K105" s="56"/>
      <c r="L105" s="137"/>
      <c r="M105" s="138"/>
      <c r="N105" s="138"/>
      <c r="O105" s="139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6"/>
      <c r="F106" s="37"/>
      <c r="G106" s="53"/>
      <c r="H106" s="54"/>
      <c r="I106" s="54"/>
      <c r="J106" s="55"/>
      <c r="K106" s="56"/>
      <c r="L106" s="137"/>
      <c r="M106" s="138"/>
      <c r="N106" s="138"/>
      <c r="O106" s="139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6"/>
      <c r="F107" s="37"/>
      <c r="G107" s="53"/>
      <c r="H107" s="54"/>
      <c r="I107" s="54"/>
      <c r="J107" s="55"/>
      <c r="K107" s="56"/>
      <c r="L107" s="137"/>
      <c r="M107" s="138"/>
      <c r="N107" s="138"/>
      <c r="O107" s="139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6"/>
      <c r="F108" s="37"/>
      <c r="G108" s="53"/>
      <c r="H108" s="54"/>
      <c r="I108" s="54"/>
      <c r="J108" s="55"/>
      <c r="K108" s="56"/>
      <c r="L108" s="137"/>
      <c r="M108" s="138"/>
      <c r="N108" s="138"/>
      <c r="O108" s="139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6"/>
      <c r="F109" s="37"/>
      <c r="G109" s="53"/>
      <c r="H109" s="54"/>
      <c r="I109" s="54"/>
      <c r="J109" s="55"/>
      <c r="K109" s="56"/>
      <c r="L109" s="137"/>
      <c r="M109" s="138"/>
      <c r="N109" s="138"/>
      <c r="O109" s="139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6"/>
      <c r="F110" s="37"/>
      <c r="G110" s="53"/>
      <c r="H110" s="54"/>
      <c r="I110" s="54"/>
      <c r="J110" s="55"/>
      <c r="K110" s="56"/>
      <c r="L110" s="137"/>
      <c r="M110" s="138"/>
      <c r="N110" s="138"/>
      <c r="O110" s="139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6"/>
      <c r="F111" s="37"/>
      <c r="G111" s="53"/>
      <c r="H111" s="54"/>
      <c r="I111" s="54"/>
      <c r="J111" s="55"/>
      <c r="K111" s="56"/>
      <c r="L111" s="137"/>
      <c r="M111" s="138"/>
      <c r="N111" s="138"/>
      <c r="O111" s="139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6"/>
      <c r="F112" s="37"/>
      <c r="G112" s="53"/>
      <c r="H112" s="54"/>
      <c r="I112" s="54"/>
      <c r="J112" s="55"/>
      <c r="K112" s="56"/>
      <c r="L112" s="137"/>
      <c r="M112" s="138"/>
      <c r="N112" s="138"/>
      <c r="O112" s="139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6"/>
      <c r="F113" s="37"/>
      <c r="G113" s="53"/>
      <c r="H113" s="54"/>
      <c r="I113" s="54"/>
      <c r="J113" s="55"/>
      <c r="K113" s="56"/>
      <c r="L113" s="137"/>
      <c r="M113" s="138"/>
      <c r="N113" s="138"/>
      <c r="O113" s="139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6"/>
      <c r="F114" s="37"/>
      <c r="G114" s="53"/>
      <c r="H114" s="54"/>
      <c r="I114" s="54"/>
      <c r="J114" s="55"/>
      <c r="K114" s="56"/>
      <c r="L114" s="137"/>
      <c r="M114" s="138"/>
      <c r="N114" s="138"/>
      <c r="O114" s="139"/>
      <c r="P114" s="140"/>
    </row>
    <row r="115" spans="1:16" ht="12.75" hidden="1" customHeight="1" x14ac:dyDescent="0.2">
      <c r="B115" s="36"/>
      <c r="C115" s="10"/>
      <c r="D115" s="10"/>
      <c r="E115" s="16"/>
      <c r="F115" s="37"/>
      <c r="G115" s="53"/>
      <c r="H115" s="54"/>
      <c r="I115" s="54"/>
      <c r="J115" s="55"/>
      <c r="K115" s="56"/>
      <c r="L115" s="137"/>
      <c r="M115" s="138"/>
      <c r="N115" s="138"/>
      <c r="O115" s="139"/>
      <c r="P115" s="140"/>
    </row>
    <row r="116" spans="1:16" x14ac:dyDescent="0.2">
      <c r="A116" s="116" t="s">
        <v>2</v>
      </c>
      <c r="B116" s="38">
        <f>SUM(B$92:B$115)</f>
        <v>0</v>
      </c>
      <c r="C116" s="11">
        <f>SUM(C$92:C$115)</f>
        <v>0</v>
      </c>
      <c r="D116" s="11">
        <f>SUM(D$92:D$115)</f>
        <v>0</v>
      </c>
      <c r="E116" s="17">
        <f>SUM(E$92:E$115)</f>
        <v>0</v>
      </c>
      <c r="F116" s="70">
        <f t="shared" ref="F116:J116" si="5">SUM(F$92:F$115)</f>
        <v>1.0000000000059999</v>
      </c>
      <c r="G116" s="57">
        <f t="shared" si="5"/>
        <v>0</v>
      </c>
      <c r="H116" s="71">
        <f t="shared" si="5"/>
        <v>0</v>
      </c>
      <c r="I116" s="71">
        <f t="shared" si="5"/>
        <v>0</v>
      </c>
      <c r="J116" s="58">
        <f t="shared" si="5"/>
        <v>0</v>
      </c>
      <c r="K116" s="72">
        <f t="shared" ref="K116:O116" si="6">SUM(K$92:K$115)</f>
        <v>0.99999000000000005</v>
      </c>
      <c r="L116" s="141">
        <f t="shared" si="6"/>
        <v>0</v>
      </c>
      <c r="M116" s="142">
        <f t="shared" si="6"/>
        <v>0</v>
      </c>
      <c r="N116" s="142">
        <f t="shared" si="6"/>
        <v>0</v>
      </c>
      <c r="O116" s="143">
        <f t="shared" si="6"/>
        <v>0</v>
      </c>
      <c r="P116" s="144">
        <f>SUM(P$92:P$115)</f>
        <v>0.99999999999999989</v>
      </c>
    </row>
  </sheetData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6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Translation!$A$47</f>
        <v>Risque global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retour à la vue d'ensemble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 t="str">
        <f>Translation!$A$52</f>
        <v>Niveau de risque</v>
      </c>
      <c r="B4" s="28" t="str">
        <f>Translation!$A$40</f>
        <v>Nombre d'IP</v>
      </c>
      <c r="C4" s="19" t="str">
        <f>Translation!$A$41</f>
        <v>Nombre d'assurés actifs</v>
      </c>
      <c r="D4" s="19" t="str">
        <f>Translation!$A$42</f>
        <v>Nombre de rentiers</v>
      </c>
      <c r="E4" s="149" t="str">
        <f>Translation!$A$43</f>
        <v>Somme du bilan</v>
      </c>
      <c r="F4" s="29" t="str">
        <f>Translation!$A$46</f>
        <v>Part de la somme du bilan</v>
      </c>
      <c r="G4" s="28" t="str">
        <f>Translation!$A$40</f>
        <v>Nombre d'IP</v>
      </c>
      <c r="H4" s="19" t="str">
        <f>Translation!$A$41</f>
        <v>Nombre d'assurés actifs</v>
      </c>
      <c r="I4" s="19" t="str">
        <f>Translation!$A$42</f>
        <v>Nombre de rentiers</v>
      </c>
      <c r="J4" s="149" t="str">
        <f>Translation!$A$43</f>
        <v>Somme du bilan</v>
      </c>
      <c r="K4" s="29" t="str">
        <f>Translation!$A$46</f>
        <v>Part de la somme du bilan</v>
      </c>
      <c r="L4" s="28" t="str">
        <f>Translation!$A$40</f>
        <v>Nombre d'IP</v>
      </c>
      <c r="M4" s="73" t="str">
        <f>Translation!$A$41</f>
        <v>Nombre d'assurés actifs</v>
      </c>
      <c r="N4" s="73" t="str">
        <f>Translation!$A$42</f>
        <v>Nombre de rentiers</v>
      </c>
      <c r="O4" s="149" t="str">
        <f>Translation!$A$43</f>
        <v>Somme du bilan</v>
      </c>
      <c r="P4" s="29" t="str">
        <f>Translation!$A$46</f>
        <v>Part de la somme du bilan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toutes les institutions de prévoyance</v>
      </c>
      <c r="M11" s="75"/>
      <c r="N11" s="75"/>
    </row>
    <row r="12" spans="1:16" x14ac:dyDescent="0.2">
      <c r="A12" s="115" t="str">
        <f>Translation!$A53</f>
        <v>1 – faible</v>
      </c>
      <c r="B12" s="30">
        <v>137</v>
      </c>
      <c r="C12" s="6">
        <v>25676</v>
      </c>
      <c r="D12" s="6">
        <v>656</v>
      </c>
      <c r="E12" s="151">
        <v>4084.9340000000002</v>
      </c>
      <c r="F12" s="31">
        <f>E12/E$36</f>
        <v>4.968935023938228E-3</v>
      </c>
      <c r="G12" s="41">
        <v>73</v>
      </c>
      <c r="H12" s="42">
        <v>12775</v>
      </c>
      <c r="I12" s="42">
        <v>2647</v>
      </c>
      <c r="J12" s="161">
        <v>1709.1679999999999</v>
      </c>
      <c r="K12" s="44">
        <f>J12/J$36</f>
        <v>2.3407079939127356E-3</v>
      </c>
      <c r="L12" s="76">
        <v>60</v>
      </c>
      <c r="M12" s="123">
        <v>4022</v>
      </c>
      <c r="N12" s="123">
        <v>494</v>
      </c>
      <c r="O12" s="168">
        <v>616.29209299999991</v>
      </c>
      <c r="P12" s="125">
        <f>O12/O$36</f>
        <v>9.1588251542719726E-4</v>
      </c>
    </row>
    <row r="13" spans="1:16" x14ac:dyDescent="0.2">
      <c r="A13" s="115" t="str">
        <f>Translation!$A54</f>
        <v>2 – plutôt faible</v>
      </c>
      <c r="B13" s="30">
        <v>580</v>
      </c>
      <c r="C13" s="6">
        <v>1346382</v>
      </c>
      <c r="D13" s="6">
        <v>58466</v>
      </c>
      <c r="E13" s="151">
        <v>139780.46</v>
      </c>
      <c r="F13" s="31">
        <f>E13/E$36</f>
        <v>0.17002968061569573</v>
      </c>
      <c r="G13" s="41">
        <v>535</v>
      </c>
      <c r="H13" s="42">
        <v>1253183</v>
      </c>
      <c r="I13" s="42">
        <v>130143</v>
      </c>
      <c r="J13" s="161">
        <v>74629.573000000004</v>
      </c>
      <c r="K13" s="44">
        <f>J13/J$36</f>
        <v>0.10220530579989449</v>
      </c>
      <c r="L13" s="76">
        <v>304</v>
      </c>
      <c r="M13" s="123">
        <v>878442</v>
      </c>
      <c r="N13" s="123">
        <v>65103.000000000007</v>
      </c>
      <c r="O13" s="168">
        <v>69894.272217000005</v>
      </c>
      <c r="P13" s="125">
        <f>O13/O$36</f>
        <v>0.1038711068650028</v>
      </c>
    </row>
    <row r="14" spans="1:16" x14ac:dyDescent="0.2">
      <c r="A14" s="115" t="str">
        <f>Translation!$A55</f>
        <v>3 – moyen</v>
      </c>
      <c r="B14" s="30">
        <v>942</v>
      </c>
      <c r="C14" s="6">
        <v>2066004</v>
      </c>
      <c r="D14" s="6">
        <v>565549</v>
      </c>
      <c r="E14" s="151">
        <v>498629.21899999998</v>
      </c>
      <c r="F14" s="31">
        <f>E14/E$36</f>
        <v>0.60653518275890494</v>
      </c>
      <c r="G14" s="41">
        <v>1022</v>
      </c>
      <c r="H14" s="42">
        <v>2016386</v>
      </c>
      <c r="I14" s="42">
        <v>523306</v>
      </c>
      <c r="J14" s="161">
        <v>451751.451</v>
      </c>
      <c r="K14" s="44">
        <f>J14/J$36</f>
        <v>0.61867425122479336</v>
      </c>
      <c r="L14" s="76">
        <v>738</v>
      </c>
      <c r="M14" s="123">
        <v>1164236</v>
      </c>
      <c r="N14" s="123">
        <v>244832</v>
      </c>
      <c r="O14" s="168">
        <v>176773.54387599989</v>
      </c>
      <c r="P14" s="125">
        <f>O14/O$36</f>
        <v>0.26270627169336541</v>
      </c>
    </row>
    <row r="15" spans="1:16" x14ac:dyDescent="0.2">
      <c r="A15" s="115" t="str">
        <f>Translation!$A56</f>
        <v>4 – plutôt élevé</v>
      </c>
      <c r="B15" s="30">
        <v>178</v>
      </c>
      <c r="C15" s="6">
        <v>519487</v>
      </c>
      <c r="D15" s="6">
        <v>220158</v>
      </c>
      <c r="E15" s="151">
        <v>167747.76300000001</v>
      </c>
      <c r="F15" s="31">
        <f>E15/E$36</f>
        <v>0.20404925385770964</v>
      </c>
      <c r="G15" s="41">
        <v>261</v>
      </c>
      <c r="H15" s="42">
        <v>601754</v>
      </c>
      <c r="I15" s="42">
        <v>260701</v>
      </c>
      <c r="J15" s="161">
        <v>188475.13</v>
      </c>
      <c r="K15" s="44">
        <f>J15/J$36</f>
        <v>0.25811695716555777</v>
      </c>
      <c r="L15" s="76">
        <v>682</v>
      </c>
      <c r="M15" s="123">
        <v>1297979</v>
      </c>
      <c r="N15" s="123">
        <v>461873.99999999994</v>
      </c>
      <c r="O15" s="168">
        <v>340957.67430899944</v>
      </c>
      <c r="P15" s="125">
        <f>O15/O$36</f>
        <v>0.50670319471441527</v>
      </c>
    </row>
    <row r="16" spans="1:16" x14ac:dyDescent="0.2">
      <c r="A16" s="115" t="str">
        <f>Translation!$A57</f>
        <v>5 – élevé</v>
      </c>
      <c r="B16" s="30">
        <v>8</v>
      </c>
      <c r="C16" s="6">
        <v>46488</v>
      </c>
      <c r="D16" s="6">
        <v>23989</v>
      </c>
      <c r="E16" s="151">
        <v>11852.093000000001</v>
      </c>
      <c r="F16" s="31">
        <f>E16/E$36</f>
        <v>1.4416947743751332E-2</v>
      </c>
      <c r="G16" s="41">
        <v>14</v>
      </c>
      <c r="H16" s="42">
        <v>48650</v>
      </c>
      <c r="I16" s="42">
        <v>26535</v>
      </c>
      <c r="J16" s="161">
        <v>13627.424999999999</v>
      </c>
      <c r="K16" s="44">
        <f>J16/J$36</f>
        <v>1.8662777815841546E-2</v>
      </c>
      <c r="L16" s="76">
        <v>78</v>
      </c>
      <c r="M16" s="123">
        <v>355819</v>
      </c>
      <c r="N16" s="123">
        <v>138642</v>
      </c>
      <c r="O16" s="168">
        <v>84652.483547999989</v>
      </c>
      <c r="P16" s="125">
        <f>O16/O$36</f>
        <v>0.12580354421178933</v>
      </c>
    </row>
    <row r="17" spans="2:16" ht="12.75" hidden="1" customHeight="1" x14ac:dyDescent="0.2">
      <c r="B17" s="30"/>
      <c r="C17" s="6"/>
      <c r="D17" s="6"/>
      <c r="E17" s="151"/>
      <c r="F17" s="31"/>
      <c r="G17" s="41"/>
      <c r="H17" s="42"/>
      <c r="I17" s="42"/>
      <c r="J17" s="161"/>
      <c r="K17" s="44"/>
      <c r="L17" s="76"/>
      <c r="M17" s="123"/>
      <c r="N17" s="123"/>
      <c r="O17" s="168"/>
      <c r="P17" s="125"/>
    </row>
    <row r="18" spans="2:16" ht="12.75" hidden="1" customHeight="1" x14ac:dyDescent="0.2">
      <c r="B18" s="30"/>
      <c r="C18" s="6"/>
      <c r="D18" s="6"/>
      <c r="E18" s="151"/>
      <c r="F18" s="31"/>
      <c r="G18" s="41"/>
      <c r="H18" s="42"/>
      <c r="I18" s="42"/>
      <c r="J18" s="161"/>
      <c r="K18" s="44"/>
      <c r="L18" s="76"/>
      <c r="M18" s="123"/>
      <c r="N18" s="123"/>
      <c r="O18" s="168"/>
      <c r="P18" s="125"/>
    </row>
    <row r="19" spans="2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2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2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2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2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2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2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2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2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2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2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2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2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2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0">SUM(C$12:C$35)</f>
        <v>4004037</v>
      </c>
      <c r="D36" s="7">
        <f t="shared" si="0"/>
        <v>868818</v>
      </c>
      <c r="E36" s="152">
        <f t="shared" si="0"/>
        <v>822094.46900000004</v>
      </c>
      <c r="F36" s="64">
        <f>SUM(F$12:F$35)</f>
        <v>0.99999999999999989</v>
      </c>
      <c r="G36" s="45">
        <f t="shared" ref="G36:J36" si="1">SUM(G$12:G$35)</f>
        <v>1905</v>
      </c>
      <c r="H36" s="65">
        <f t="shared" si="1"/>
        <v>3932748</v>
      </c>
      <c r="I36" s="65">
        <f t="shared" si="1"/>
        <v>943332</v>
      </c>
      <c r="J36" s="162">
        <f t="shared" si="1"/>
        <v>730192.74700000009</v>
      </c>
      <c r="K36" s="66">
        <f t="shared" ref="K36:O36" si="2">SUM(K$12:K$35)</f>
        <v>0.99999999999999989</v>
      </c>
      <c r="L36" s="77">
        <f t="shared" si="2"/>
        <v>1862</v>
      </c>
      <c r="M36" s="126">
        <f t="shared" si="2"/>
        <v>3700498</v>
      </c>
      <c r="N36" s="126">
        <f t="shared" si="2"/>
        <v>910945</v>
      </c>
      <c r="O36" s="169">
        <f t="shared" si="2"/>
        <v>672894.26604299934</v>
      </c>
      <c r="P36" s="128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institutions de prévoyance sans garantie étatique</v>
      </c>
      <c r="M51" s="75"/>
      <c r="N51" s="75"/>
    </row>
    <row r="52" spans="1:16" x14ac:dyDescent="0.2">
      <c r="A52" s="115" t="str">
        <f>$A$12</f>
        <v>1 – faible</v>
      </c>
      <c r="B52" s="33">
        <v>137</v>
      </c>
      <c r="C52" s="8">
        <v>25676</v>
      </c>
      <c r="D52" s="8">
        <v>656</v>
      </c>
      <c r="E52" s="153">
        <v>4084.9340000000002</v>
      </c>
      <c r="F52" s="34">
        <f>E52/E$76</f>
        <v>5.7012338787383685E-3</v>
      </c>
      <c r="G52" s="47">
        <v>73</v>
      </c>
      <c r="H52" s="48">
        <v>12775</v>
      </c>
      <c r="I52" s="48">
        <v>2647</v>
      </c>
      <c r="J52" s="163">
        <v>1709.1679999999999</v>
      </c>
      <c r="K52" s="50">
        <f>J52/J$76</f>
        <v>2.7339988259325087E-3</v>
      </c>
      <c r="L52" s="129">
        <v>58</v>
      </c>
      <c r="M52" s="130">
        <v>4004</v>
      </c>
      <c r="N52" s="130">
        <v>477</v>
      </c>
      <c r="O52" s="170">
        <v>611.6820929999999</v>
      </c>
      <c r="P52" s="132">
        <f>O52/O$76</f>
        <v>1.0653984822218598E-3</v>
      </c>
    </row>
    <row r="53" spans="1:16" x14ac:dyDescent="0.2">
      <c r="A53" s="115" t="str">
        <f>$A$13</f>
        <v>2 – plutôt faible</v>
      </c>
      <c r="B53" s="33">
        <v>578</v>
      </c>
      <c r="C53" s="8">
        <v>1345602</v>
      </c>
      <c r="D53" s="8">
        <v>58095</v>
      </c>
      <c r="E53" s="153">
        <v>139512.03700000001</v>
      </c>
      <c r="F53" s="34">
        <f>E53/E$76</f>
        <v>0.19471324428649295</v>
      </c>
      <c r="G53" s="47">
        <v>532</v>
      </c>
      <c r="H53" s="48">
        <v>1252354</v>
      </c>
      <c r="I53" s="48">
        <v>129840</v>
      </c>
      <c r="J53" s="163">
        <v>74490.922999999995</v>
      </c>
      <c r="K53" s="50">
        <f>J53/J$76</f>
        <v>0.11915627722062952</v>
      </c>
      <c r="L53" s="129">
        <v>303</v>
      </c>
      <c r="M53" s="130">
        <v>868127</v>
      </c>
      <c r="N53" s="130">
        <v>63341.000000000007</v>
      </c>
      <c r="O53" s="170">
        <v>68694.113217000006</v>
      </c>
      <c r="P53" s="132">
        <f>O53/O$76</f>
        <v>0.11964810609384378</v>
      </c>
    </row>
    <row r="54" spans="1:16" x14ac:dyDescent="0.2">
      <c r="A54" s="115" t="str">
        <f>$A$14</f>
        <v>3 – moyen</v>
      </c>
      <c r="B54" s="33">
        <v>919</v>
      </c>
      <c r="C54" s="8">
        <v>1958085</v>
      </c>
      <c r="D54" s="8">
        <v>516967</v>
      </c>
      <c r="E54" s="153">
        <v>459674.15399999998</v>
      </c>
      <c r="F54" s="34">
        <f>E54/E$76</f>
        <v>0.64155500675535948</v>
      </c>
      <c r="G54" s="47">
        <v>996</v>
      </c>
      <c r="H54" s="48">
        <v>1920325</v>
      </c>
      <c r="I54" s="48">
        <v>488760</v>
      </c>
      <c r="J54" s="163">
        <v>423014.44099999999</v>
      </c>
      <c r="K54" s="50">
        <f>J54/J$76</f>
        <v>0.67665728883673015</v>
      </c>
      <c r="L54" s="129">
        <v>713</v>
      </c>
      <c r="M54" s="130">
        <v>1097557</v>
      </c>
      <c r="N54" s="130">
        <v>223534</v>
      </c>
      <c r="O54" s="170">
        <v>159538.76287599991</v>
      </c>
      <c r="P54" s="132">
        <f>O54/O$76</f>
        <v>0.2778769523724533</v>
      </c>
    </row>
    <row r="55" spans="1:16" x14ac:dyDescent="0.2">
      <c r="A55" s="115" t="str">
        <f>$A$15</f>
        <v>4 – plutôt élevé</v>
      </c>
      <c r="B55" s="33">
        <v>162</v>
      </c>
      <c r="C55" s="8">
        <v>335292</v>
      </c>
      <c r="D55" s="8">
        <v>138554</v>
      </c>
      <c r="E55" s="153">
        <v>113117.493</v>
      </c>
      <c r="F55" s="34">
        <f>E55/E$76</f>
        <v>0.15787508032432107</v>
      </c>
      <c r="G55" s="47">
        <v>237</v>
      </c>
      <c r="H55" s="48">
        <v>388206</v>
      </c>
      <c r="I55" s="48">
        <v>161210</v>
      </c>
      <c r="J55" s="163">
        <v>125493.18799999999</v>
      </c>
      <c r="K55" s="50">
        <f>J55/J$76</f>
        <v>0.20073990892324661</v>
      </c>
      <c r="L55" s="129">
        <v>657</v>
      </c>
      <c r="M55" s="130">
        <v>1170780</v>
      </c>
      <c r="N55" s="130">
        <v>404831.99999999994</v>
      </c>
      <c r="O55" s="170">
        <v>299391.49819399946</v>
      </c>
      <c r="P55" s="132">
        <f>O55/O$76</f>
        <v>0.52146572773059063</v>
      </c>
    </row>
    <row r="56" spans="1:16" x14ac:dyDescent="0.2">
      <c r="A56" s="115" t="str">
        <f>$A$16</f>
        <v>5 – élevé</v>
      </c>
      <c r="B56" s="33">
        <v>6</v>
      </c>
      <c r="C56" s="8">
        <v>2</v>
      </c>
      <c r="D56" s="8">
        <v>634</v>
      </c>
      <c r="E56" s="153">
        <v>111.369</v>
      </c>
      <c r="F56" s="34">
        <f>E56/E$76</f>
        <v>1.5543475508813932E-4</v>
      </c>
      <c r="G56" s="47">
        <v>9</v>
      </c>
      <c r="H56" s="48">
        <v>972</v>
      </c>
      <c r="I56" s="48">
        <v>1170</v>
      </c>
      <c r="J56" s="163">
        <v>445.43799999999999</v>
      </c>
      <c r="K56" s="50">
        <f>J56/J$76</f>
        <v>7.1252619346121905E-4</v>
      </c>
      <c r="L56" s="129">
        <v>65</v>
      </c>
      <c r="M56" s="130">
        <v>174681</v>
      </c>
      <c r="N56" s="130">
        <v>63517</v>
      </c>
      <c r="O56" s="170">
        <v>45898.50754799998</v>
      </c>
      <c r="P56" s="132">
        <f>O56/O$76</f>
        <v>7.9943815320890496E-2</v>
      </c>
    </row>
    <row r="57" spans="1:16" ht="12.75" hidden="1" customHeight="1" x14ac:dyDescent="0.2">
      <c r="B57" s="33"/>
      <c r="C57" s="8"/>
      <c r="D57" s="8"/>
      <c r="E57" s="153"/>
      <c r="F57" s="34"/>
      <c r="G57" s="47"/>
      <c r="H57" s="48"/>
      <c r="I57" s="48"/>
      <c r="J57" s="163"/>
      <c r="K57" s="50"/>
      <c r="L57" s="129"/>
      <c r="M57" s="130"/>
      <c r="N57" s="130"/>
      <c r="O57" s="170"/>
      <c r="P57" s="132"/>
    </row>
    <row r="58" spans="1:16" ht="12.75" hidden="1" customHeight="1" x14ac:dyDescent="0.2">
      <c r="B58" s="33"/>
      <c r="C58" s="8"/>
      <c r="D58" s="8"/>
      <c r="E58" s="153"/>
      <c r="F58" s="34"/>
      <c r="G58" s="47"/>
      <c r="H58" s="48"/>
      <c r="I58" s="48"/>
      <c r="J58" s="163"/>
      <c r="K58" s="50"/>
      <c r="L58" s="129"/>
      <c r="M58" s="130"/>
      <c r="N58" s="130"/>
      <c r="O58" s="170"/>
      <c r="P58" s="132"/>
    </row>
    <row r="59" spans="1:16" ht="12.75" hidden="1" customHeight="1" x14ac:dyDescent="0.2"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tr">
        <f>$A$36</f>
        <v>Total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716499.98699999996</v>
      </c>
      <c r="F76" s="67">
        <f t="shared" ref="F76:J76" si="3">SUM(F$52:F$75)</f>
        <v>1</v>
      </c>
      <c r="G76" s="51">
        <f t="shared" si="3"/>
        <v>1847</v>
      </c>
      <c r="H76" s="68">
        <f t="shared" si="3"/>
        <v>3574632</v>
      </c>
      <c r="I76" s="68">
        <f t="shared" si="3"/>
        <v>783627</v>
      </c>
      <c r="J76" s="164">
        <f t="shared" si="3"/>
        <v>625153.15799999994</v>
      </c>
      <c r="K76" s="69">
        <f t="shared" ref="K76:O76" si="4">SUM(K$52:K$75)</f>
        <v>0.99999999999999989</v>
      </c>
      <c r="L76" s="133">
        <f t="shared" si="4"/>
        <v>1796</v>
      </c>
      <c r="M76" s="134">
        <f t="shared" si="4"/>
        <v>3315149</v>
      </c>
      <c r="N76" s="134">
        <f t="shared" si="4"/>
        <v>755701</v>
      </c>
      <c r="O76" s="171">
        <f t="shared" si="4"/>
        <v>574134.56392799935</v>
      </c>
      <c r="P76" s="136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institutions de prévoyance avec garantie étatique</v>
      </c>
      <c r="M91" s="75"/>
      <c r="N91" s="75"/>
    </row>
    <row r="92" spans="1:16" x14ac:dyDescent="0.2">
      <c r="A92" s="115" t="str">
        <f>$A$12</f>
        <v>1 – faible</v>
      </c>
      <c r="B92" s="36">
        <v>0</v>
      </c>
      <c r="C92" s="10">
        <v>0</v>
      </c>
      <c r="D92" s="10">
        <v>0</v>
      </c>
      <c r="E92" s="155">
        <v>0</v>
      </c>
      <c r="F92" s="37">
        <f>E92/E$116</f>
        <v>0</v>
      </c>
      <c r="G92" s="53">
        <v>0</v>
      </c>
      <c r="H92" s="54">
        <v>0</v>
      </c>
      <c r="I92" s="54">
        <v>0</v>
      </c>
      <c r="J92" s="165">
        <v>0</v>
      </c>
      <c r="K92" s="56">
        <f>J92/J$116</f>
        <v>0</v>
      </c>
      <c r="L92" s="137">
        <v>2</v>
      </c>
      <c r="M92" s="138">
        <v>18</v>
      </c>
      <c r="N92" s="138">
        <v>17</v>
      </c>
      <c r="O92" s="172">
        <v>4.6100000000000003</v>
      </c>
      <c r="P92" s="140">
        <f>O92/O$116</f>
        <v>4.6678958130431788E-5</v>
      </c>
    </row>
    <row r="93" spans="1:16" x14ac:dyDescent="0.2">
      <c r="A93" s="115" t="str">
        <f>$A$13</f>
        <v>2 – plutôt faible</v>
      </c>
      <c r="B93" s="36">
        <v>2</v>
      </c>
      <c r="C93" s="10">
        <v>780</v>
      </c>
      <c r="D93" s="10">
        <v>371</v>
      </c>
      <c r="E93" s="155">
        <v>268.423</v>
      </c>
      <c r="F93" s="37">
        <f>E93/E$116</f>
        <v>2.5420172997297338E-3</v>
      </c>
      <c r="G93" s="53">
        <v>3</v>
      </c>
      <c r="H93" s="54">
        <v>829</v>
      </c>
      <c r="I93" s="54">
        <v>303</v>
      </c>
      <c r="J93" s="165">
        <v>138.65</v>
      </c>
      <c r="K93" s="56">
        <f>J93/J$116</f>
        <v>1.3199785082936683E-3</v>
      </c>
      <c r="L93" s="137">
        <v>1</v>
      </c>
      <c r="M93" s="138">
        <v>10315</v>
      </c>
      <c r="N93" s="138">
        <v>1762.0000000000002</v>
      </c>
      <c r="O93" s="172">
        <v>1200.1590000000001</v>
      </c>
      <c r="P93" s="140">
        <f>O93/O$116</f>
        <v>1.2152314904742058E-2</v>
      </c>
    </row>
    <row r="94" spans="1:16" x14ac:dyDescent="0.2">
      <c r="A94" s="115" t="str">
        <f>$A$14</f>
        <v>3 – moyen</v>
      </c>
      <c r="B94" s="36">
        <v>23</v>
      </c>
      <c r="C94" s="10">
        <v>107919</v>
      </c>
      <c r="D94" s="10">
        <v>48582</v>
      </c>
      <c r="E94" s="155">
        <v>38955.065000000002</v>
      </c>
      <c r="F94" s="37">
        <f>E94/E$116</f>
        <v>0.36891193803100431</v>
      </c>
      <c r="G94" s="53">
        <v>26</v>
      </c>
      <c r="H94" s="54">
        <v>96061</v>
      </c>
      <c r="I94" s="54">
        <v>34546</v>
      </c>
      <c r="J94" s="165">
        <v>28737.01</v>
      </c>
      <c r="K94" s="56">
        <f>J94/J$116</f>
        <v>0.27358265843938134</v>
      </c>
      <c r="L94" s="137">
        <v>25</v>
      </c>
      <c r="M94" s="138">
        <v>66679</v>
      </c>
      <c r="N94" s="138">
        <v>21298</v>
      </c>
      <c r="O94" s="172">
        <v>17234.780999999995</v>
      </c>
      <c r="P94" s="140">
        <f>O94/O$116</f>
        <v>0.17451228214450348</v>
      </c>
    </row>
    <row r="95" spans="1:16" x14ac:dyDescent="0.2">
      <c r="A95" s="115" t="str">
        <f>$A$15</f>
        <v>4 – plutôt élevé</v>
      </c>
      <c r="B95" s="36">
        <v>16</v>
      </c>
      <c r="C95" s="10">
        <v>184195</v>
      </c>
      <c r="D95" s="10">
        <v>81604</v>
      </c>
      <c r="E95" s="155">
        <v>54630.27</v>
      </c>
      <c r="F95" s="37">
        <f>E95/E$116</f>
        <v>0.5173591362472898</v>
      </c>
      <c r="G95" s="53">
        <v>24</v>
      </c>
      <c r="H95" s="54">
        <v>213548</v>
      </c>
      <c r="I95" s="54">
        <v>99491</v>
      </c>
      <c r="J95" s="165">
        <v>62981.942000000003</v>
      </c>
      <c r="K95" s="56">
        <f>J95/J$116</f>
        <v>0.59960194627189567</v>
      </c>
      <c r="L95" s="137">
        <v>25</v>
      </c>
      <c r="M95" s="138">
        <v>127199</v>
      </c>
      <c r="N95" s="138">
        <v>57042</v>
      </c>
      <c r="O95" s="172">
        <v>41566.176114999995</v>
      </c>
      <c r="P95" s="140">
        <f>O95/O$116</f>
        <v>0.42088195108768728</v>
      </c>
    </row>
    <row r="96" spans="1:16" x14ac:dyDescent="0.2">
      <c r="A96" s="115" t="str">
        <f>$A$16</f>
        <v>5 – élevé</v>
      </c>
      <c r="B96" s="36">
        <v>2</v>
      </c>
      <c r="C96" s="10">
        <v>46486</v>
      </c>
      <c r="D96" s="10">
        <v>23355</v>
      </c>
      <c r="E96" s="155">
        <v>11740.724</v>
      </c>
      <c r="F96" s="37">
        <f>E96/E$116</f>
        <v>0.11118690842197607</v>
      </c>
      <c r="G96" s="53">
        <v>5</v>
      </c>
      <c r="H96" s="54">
        <v>47678</v>
      </c>
      <c r="I96" s="54">
        <v>25365</v>
      </c>
      <c r="J96" s="165">
        <v>13181.986999999999</v>
      </c>
      <c r="K96" s="56">
        <f>J96/J$116</f>
        <v>0.12549541678042933</v>
      </c>
      <c r="L96" s="137">
        <v>13</v>
      </c>
      <c r="M96" s="138">
        <v>181138</v>
      </c>
      <c r="N96" s="138">
        <v>75125</v>
      </c>
      <c r="O96" s="172">
        <v>38753.976000000002</v>
      </c>
      <c r="P96" s="140">
        <f>O96/O$116</f>
        <v>0.39240677290493675</v>
      </c>
    </row>
    <row r="97" spans="2:16" ht="12.75" hidden="1" customHeight="1" x14ac:dyDescent="0.2">
      <c r="B97" s="36"/>
      <c r="C97" s="10"/>
      <c r="D97" s="10"/>
      <c r="E97" s="155"/>
      <c r="F97" s="37"/>
      <c r="G97" s="53"/>
      <c r="H97" s="54"/>
      <c r="I97" s="54"/>
      <c r="J97" s="165"/>
      <c r="K97" s="56"/>
      <c r="L97" s="137"/>
      <c r="M97" s="138"/>
      <c r="N97" s="138"/>
      <c r="O97" s="172"/>
      <c r="P97" s="140"/>
    </row>
    <row r="98" spans="2:16" ht="12.75" hidden="1" customHeight="1" x14ac:dyDescent="0.2">
      <c r="B98" s="36"/>
      <c r="C98" s="10"/>
      <c r="D98" s="10"/>
      <c r="E98" s="155"/>
      <c r="F98" s="37"/>
      <c r="G98" s="53"/>
      <c r="H98" s="54"/>
      <c r="I98" s="54"/>
      <c r="J98" s="165"/>
      <c r="K98" s="56"/>
      <c r="L98" s="137"/>
      <c r="M98" s="138"/>
      <c r="N98" s="138"/>
      <c r="O98" s="172"/>
      <c r="P98" s="140"/>
    </row>
    <row r="99" spans="2:16" ht="12.75" hidden="1" customHeight="1" x14ac:dyDescent="0.2"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2:16" ht="12.75" hidden="1" customHeight="1" x14ac:dyDescent="0.2"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2:16" ht="12.75" hidden="1" customHeight="1" x14ac:dyDescent="0.2"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2:16" ht="12.75" hidden="1" customHeight="1" x14ac:dyDescent="0.2"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2:16" ht="12.75" hidden="1" customHeight="1" x14ac:dyDescent="0.2"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2:16" ht="12.75" hidden="1" customHeight="1" x14ac:dyDescent="0.2"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2:16" ht="12.75" hidden="1" customHeight="1" x14ac:dyDescent="0.2"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2:16" ht="12.75" hidden="1" customHeight="1" x14ac:dyDescent="0.2"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2:16" ht="12.75" hidden="1" customHeight="1" x14ac:dyDescent="0.2"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2:16" ht="12.75" hidden="1" customHeight="1" x14ac:dyDescent="0.2"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2:16" ht="12.75" hidden="1" customHeight="1" x14ac:dyDescent="0.2"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2:16" ht="12.75" hidden="1" customHeight="1" x14ac:dyDescent="0.2"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2:16" ht="12.75" hidden="1" customHeight="1" x14ac:dyDescent="0.2"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2:16" ht="12.75" hidden="1" customHeight="1" x14ac:dyDescent="0.2"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tr">
        <f>$A$36</f>
        <v>Total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:J116" si="5">SUM(F$92:F$115)</f>
        <v>1</v>
      </c>
      <c r="G116" s="57">
        <f t="shared" si="5"/>
        <v>58</v>
      </c>
      <c r="H116" s="71">
        <f t="shared" si="5"/>
        <v>358116</v>
      </c>
      <c r="I116" s="71">
        <f t="shared" si="5"/>
        <v>159705</v>
      </c>
      <c r="J116" s="166">
        <f t="shared" si="5"/>
        <v>105039.58899999999</v>
      </c>
      <c r="K116" s="72">
        <f t="shared" ref="K116:O116" si="6">SUM(K$92:K$115)</f>
        <v>1</v>
      </c>
      <c r="L116" s="141">
        <f t="shared" si="6"/>
        <v>66</v>
      </c>
      <c r="M116" s="142">
        <f t="shared" si="6"/>
        <v>385349</v>
      </c>
      <c r="N116" s="142">
        <f t="shared" si="6"/>
        <v>155244</v>
      </c>
      <c r="O116" s="173">
        <f t="shared" si="6"/>
        <v>98759.702114999993</v>
      </c>
      <c r="P116" s="144">
        <f>SUM(P$92:P$115)</f>
        <v>1</v>
      </c>
    </row>
    <row r="120" spans="1:16" x14ac:dyDescent="0.2">
      <c r="A120" s="111" t="str">
        <f>Translation!$A$36</f>
        <v>somme du bilan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r:id="rId1"/>
  <headerFooter>
    <oddFooter>&amp;L&amp;10&amp;F / &amp;A&amp;C&amp;10&amp;P / &amp;N&amp;R&amp;10OAK BV - RM / 12.05.2015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Translation!$A$253</f>
        <v>Part des valeurs réelles dans les stratégies de placement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10" t="str">
        <f>Translation!$A$27</f>
        <v>retour à la vue d'ensemble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/>
      <c r="B4" s="28" t="str">
        <f>Translation!$A$40</f>
        <v>Nombre d'IP</v>
      </c>
      <c r="C4" s="19" t="str">
        <f>Translation!$A$41</f>
        <v>Nombre d'assurés actifs</v>
      </c>
      <c r="D4" s="19" t="str">
        <f>Translation!$A$42</f>
        <v>Nombre de rentiers</v>
      </c>
      <c r="E4" s="149" t="str">
        <f>Translation!$A$43</f>
        <v>Somme du bilan</v>
      </c>
      <c r="F4" s="29" t="str">
        <f>Translation!$A$46</f>
        <v>Part de la somme du bilan</v>
      </c>
      <c r="G4" s="28" t="str">
        <f>Translation!$A$40</f>
        <v>Nombre d'IP</v>
      </c>
      <c r="H4" s="19" t="str">
        <f>Translation!$A$41</f>
        <v>Nombre d'assurés actifs</v>
      </c>
      <c r="I4" s="19" t="str">
        <f>Translation!$A$42</f>
        <v>Nombre de rentiers</v>
      </c>
      <c r="J4" s="149" t="str">
        <f>Translation!$A$43</f>
        <v>Somme du bilan</v>
      </c>
      <c r="K4" s="29" t="str">
        <f>Translation!$A$46</f>
        <v>Part de la somme du bilan</v>
      </c>
      <c r="L4" s="28" t="str">
        <f>Translation!$A$40</f>
        <v>Nombre d'IP</v>
      </c>
      <c r="M4" s="73" t="str">
        <f>Translation!$A$41</f>
        <v>Nombre d'assurés actifs</v>
      </c>
      <c r="N4" s="73" t="str">
        <f>Translation!$A$42</f>
        <v>Nombre de rentiers</v>
      </c>
      <c r="O4" s="149" t="str">
        <f>Translation!$A$43</f>
        <v>Somme du bilan</v>
      </c>
      <c r="P4" s="29" t="str">
        <f>Translation!$A$46</f>
        <v>Part de la somme du bilan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toutes les institutions de prévoyance</v>
      </c>
      <c r="E11" s="157"/>
      <c r="J11" s="157"/>
      <c r="O11" s="157"/>
    </row>
    <row r="12" spans="1:16" x14ac:dyDescent="0.2">
      <c r="A12" s="115" t="str">
        <f>Translation!$A254</f>
        <v>Non défini</v>
      </c>
      <c r="B12" s="30">
        <v>149</v>
      </c>
      <c r="C12" s="6">
        <v>1014705</v>
      </c>
      <c r="D12" s="6">
        <v>5133</v>
      </c>
      <c r="E12" s="151">
        <v>57114.597999999998</v>
      </c>
      <c r="F12" s="31">
        <f t="shared" ref="F12:F17" si="0">E12/E$36</f>
        <v>6.9474494907470277E-2</v>
      </c>
      <c r="G12" s="41">
        <v>165</v>
      </c>
      <c r="H12" s="42">
        <v>1041650</v>
      </c>
      <c r="I12" s="42">
        <v>90221</v>
      </c>
      <c r="J12" s="161">
        <v>23838.482</v>
      </c>
      <c r="K12" s="44">
        <f t="shared" ref="K12:K17" si="1">J12/J$36</f>
        <v>3.2646834822641697E-2</v>
      </c>
      <c r="L12" s="76"/>
      <c r="M12" s="123"/>
      <c r="N12" s="123"/>
      <c r="O12" s="168"/>
      <c r="P12" s="125">
        <v>0</v>
      </c>
    </row>
    <row r="13" spans="1:16" x14ac:dyDescent="0.2">
      <c r="A13" s="115" t="str">
        <f>Translation!$A277</f>
        <v>Moins de 40 %</v>
      </c>
      <c r="B13" s="30">
        <v>256</v>
      </c>
      <c r="C13" s="6">
        <v>284611</v>
      </c>
      <c r="D13" s="6">
        <v>77109</v>
      </c>
      <c r="E13" s="151">
        <v>68777.849000000002</v>
      </c>
      <c r="F13" s="31">
        <f t="shared" si="0"/>
        <v>8.3661734257453074E-2</v>
      </c>
      <c r="G13" s="41">
        <v>284</v>
      </c>
      <c r="H13" s="42">
        <v>275990</v>
      </c>
      <c r="I13" s="42">
        <v>65055</v>
      </c>
      <c r="J13" s="161">
        <v>50071.216</v>
      </c>
      <c r="K13" s="44">
        <f t="shared" si="1"/>
        <v>6.8572601146365542E-2</v>
      </c>
      <c r="L13" s="76"/>
      <c r="M13" s="123"/>
      <c r="N13" s="123"/>
      <c r="O13" s="168"/>
      <c r="P13" s="125">
        <v>0.10994655590400737</v>
      </c>
    </row>
    <row r="14" spans="1:16" x14ac:dyDescent="0.2">
      <c r="A14" s="115" t="str">
        <f>Translation!$A278</f>
        <v>De 40 à 49 %</v>
      </c>
      <c r="B14" s="30">
        <v>383</v>
      </c>
      <c r="C14" s="6">
        <v>482280</v>
      </c>
      <c r="D14" s="6">
        <v>182199</v>
      </c>
      <c r="E14" s="151">
        <v>159190.266</v>
      </c>
      <c r="F14" s="31">
        <f t="shared" si="0"/>
        <v>0.19363986987242457</v>
      </c>
      <c r="G14" s="41">
        <v>393</v>
      </c>
      <c r="H14" s="42">
        <v>479910</v>
      </c>
      <c r="I14" s="42">
        <v>180344</v>
      </c>
      <c r="J14" s="161">
        <v>159428.546</v>
      </c>
      <c r="K14" s="44">
        <f t="shared" si="1"/>
        <v>0.21833761928615816</v>
      </c>
      <c r="L14" s="76"/>
      <c r="M14" s="123"/>
      <c r="N14" s="123"/>
      <c r="O14" s="168"/>
      <c r="P14" s="125">
        <v>0.27660211845405641</v>
      </c>
    </row>
    <row r="15" spans="1:16" x14ac:dyDescent="0.2">
      <c r="A15" s="115" t="str">
        <f>Translation!$A279</f>
        <v>De 50 à 59 %</v>
      </c>
      <c r="B15" s="30">
        <v>514</v>
      </c>
      <c r="C15" s="6">
        <v>924941</v>
      </c>
      <c r="D15" s="6">
        <v>268684</v>
      </c>
      <c r="E15" s="151">
        <v>259337.96899999998</v>
      </c>
      <c r="F15" s="31">
        <f t="shared" si="0"/>
        <v>0.31546005815543315</v>
      </c>
      <c r="G15" s="41">
        <v>527</v>
      </c>
      <c r="H15" s="42">
        <v>1193245</v>
      </c>
      <c r="I15" s="42">
        <v>307586</v>
      </c>
      <c r="J15" s="161">
        <v>268834.33600000001</v>
      </c>
      <c r="K15" s="44">
        <f t="shared" si="1"/>
        <v>0.36816900346450582</v>
      </c>
      <c r="L15" s="76"/>
      <c r="M15" s="123"/>
      <c r="N15" s="123"/>
      <c r="O15" s="168"/>
      <c r="P15" s="125">
        <v>0.31252643395117602</v>
      </c>
    </row>
    <row r="16" spans="1:16" x14ac:dyDescent="0.2">
      <c r="A16" s="115" t="str">
        <f>Translation!$A280</f>
        <v>De 60 à 69 %</v>
      </c>
      <c r="B16" s="30">
        <v>358</v>
      </c>
      <c r="C16" s="6">
        <v>1171840</v>
      </c>
      <c r="D16" s="6">
        <v>282964</v>
      </c>
      <c r="E16" s="151">
        <v>234479.76900000003</v>
      </c>
      <c r="F16" s="31">
        <f t="shared" si="0"/>
        <v>0.28522241401918491</v>
      </c>
      <c r="G16" s="41">
        <v>368</v>
      </c>
      <c r="H16" s="42">
        <v>785914</v>
      </c>
      <c r="I16" s="42">
        <v>229300</v>
      </c>
      <c r="J16" s="161">
        <v>180440.47899999999</v>
      </c>
      <c r="K16" s="44">
        <f t="shared" si="1"/>
        <v>0.24711349125465909</v>
      </c>
      <c r="L16" s="76"/>
      <c r="M16" s="123"/>
      <c r="N16" s="123"/>
      <c r="O16" s="168"/>
      <c r="P16" s="125">
        <v>0.22834410007637629</v>
      </c>
    </row>
    <row r="17" spans="1:16" ht="12.75" customHeight="1" x14ac:dyDescent="0.2">
      <c r="A17" s="111" t="str">
        <f>Translation!$A281</f>
        <v>70 % et plus</v>
      </c>
      <c r="B17" s="30">
        <v>185</v>
      </c>
      <c r="C17" s="6">
        <v>125660</v>
      </c>
      <c r="D17" s="6">
        <v>52729</v>
      </c>
      <c r="E17" s="151">
        <v>43194.018000000004</v>
      </c>
      <c r="F17" s="31">
        <f t="shared" si="0"/>
        <v>5.2541428788033841E-2</v>
      </c>
      <c r="G17" s="41">
        <v>168</v>
      </c>
      <c r="H17" s="42">
        <v>156039</v>
      </c>
      <c r="I17" s="42">
        <v>70826</v>
      </c>
      <c r="J17" s="161">
        <v>47579.687999999995</v>
      </c>
      <c r="K17" s="44">
        <f t="shared" si="1"/>
        <v>6.5160450025669725E-2</v>
      </c>
      <c r="L17" s="76"/>
      <c r="M17" s="123"/>
      <c r="N17" s="123"/>
      <c r="O17" s="168"/>
      <c r="P17" s="125">
        <v>7.2580791614383938E-2</v>
      </c>
    </row>
    <row r="18" spans="1:16" ht="12.75" hidden="1" customHeight="1" x14ac:dyDescent="0.2">
      <c r="B18" s="30"/>
      <c r="C18" s="6"/>
      <c r="D18" s="6"/>
      <c r="E18" s="151"/>
      <c r="F18" s="31"/>
      <c r="G18" s="41"/>
      <c r="H18" s="42"/>
      <c r="I18" s="42"/>
      <c r="J18" s="161"/>
      <c r="K18" s="44"/>
      <c r="L18" s="76"/>
      <c r="M18" s="123"/>
      <c r="N18" s="123"/>
      <c r="O18" s="168"/>
      <c r="P18" s="125"/>
    </row>
    <row r="19" spans="1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1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1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1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1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1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1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1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1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1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1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1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1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1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2">SUM(C$12:C$35)</f>
        <v>4004037</v>
      </c>
      <c r="D36" s="7">
        <f t="shared" si="2"/>
        <v>868818</v>
      </c>
      <c r="E36" s="152">
        <f t="shared" si="2"/>
        <v>822094.46900000016</v>
      </c>
      <c r="F36" s="64">
        <f>SUM(F$12:F$35)</f>
        <v>0.99999999999999978</v>
      </c>
      <c r="G36" s="45">
        <f t="shared" ref="G36:J36" si="3">SUM(G$12:G$35)</f>
        <v>1905</v>
      </c>
      <c r="H36" s="65">
        <f t="shared" si="3"/>
        <v>3932748</v>
      </c>
      <c r="I36" s="65">
        <f t="shared" si="3"/>
        <v>943332</v>
      </c>
      <c r="J36" s="162">
        <f t="shared" si="3"/>
        <v>730192.74699999997</v>
      </c>
      <c r="K36" s="66">
        <f t="shared" ref="K36" si="4">SUM(K$12:K$35)</f>
        <v>1</v>
      </c>
      <c r="L36" s="77"/>
      <c r="M36" s="126"/>
      <c r="N36" s="126"/>
      <c r="O36" s="169"/>
      <c r="P36" s="128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institutions de prévoyance sans garantie étatique</v>
      </c>
      <c r="E51" s="157"/>
      <c r="J51" s="157"/>
      <c r="O51" s="157"/>
    </row>
    <row r="52" spans="1:16" x14ac:dyDescent="0.2">
      <c r="A52" s="115" t="str">
        <f>$A$12</f>
        <v>Non défini</v>
      </c>
      <c r="B52" s="33">
        <v>149</v>
      </c>
      <c r="C52" s="8">
        <v>1014705</v>
      </c>
      <c r="D52" s="8">
        <v>5133</v>
      </c>
      <c r="E52" s="153">
        <v>57114.597999999998</v>
      </c>
      <c r="F52" s="34">
        <f t="shared" ref="F52:F57" si="5">E52/E$76</f>
        <v>7.9713327336040835E-2</v>
      </c>
      <c r="G52" s="47">
        <v>165</v>
      </c>
      <c r="H52" s="48">
        <v>1041650</v>
      </c>
      <c r="I52" s="48">
        <v>90221</v>
      </c>
      <c r="J52" s="163">
        <v>23838.482</v>
      </c>
      <c r="K52" s="50">
        <f t="shared" ref="K52:K57" si="6">J52/J$76</f>
        <v>3.8132226791054616E-2</v>
      </c>
      <c r="L52" s="129"/>
      <c r="M52" s="130"/>
      <c r="N52" s="130"/>
      <c r="O52" s="170"/>
      <c r="P52" s="132">
        <v>0</v>
      </c>
    </row>
    <row r="53" spans="1:16" x14ac:dyDescent="0.2">
      <c r="A53" s="115" t="str">
        <f>$A$13</f>
        <v>Moins de 40 %</v>
      </c>
      <c r="B53" s="33">
        <v>250</v>
      </c>
      <c r="C53" s="8">
        <v>283330</v>
      </c>
      <c r="D53" s="8">
        <v>76531</v>
      </c>
      <c r="E53" s="153">
        <v>68408.561000000002</v>
      </c>
      <c r="F53" s="34">
        <f t="shared" si="5"/>
        <v>9.5476011502007199E-2</v>
      </c>
      <c r="G53" s="47">
        <v>274</v>
      </c>
      <c r="H53" s="48">
        <v>274422</v>
      </c>
      <c r="I53" s="48">
        <v>64203</v>
      </c>
      <c r="J53" s="163">
        <v>49561.457000000002</v>
      </c>
      <c r="K53" s="50">
        <f t="shared" si="6"/>
        <v>7.9278903682671625E-2</v>
      </c>
      <c r="L53" s="129"/>
      <c r="M53" s="130"/>
      <c r="N53" s="130"/>
      <c r="O53" s="170"/>
      <c r="P53" s="132">
        <v>0.1275213794333987</v>
      </c>
    </row>
    <row r="54" spans="1:16" x14ac:dyDescent="0.2">
      <c r="A54" s="115" t="str">
        <f>$A$14</f>
        <v>De 40 à 49 %</v>
      </c>
      <c r="B54" s="33">
        <v>376</v>
      </c>
      <c r="C54" s="8">
        <v>390735</v>
      </c>
      <c r="D54" s="8">
        <v>145371</v>
      </c>
      <c r="E54" s="153">
        <v>129992.43</v>
      </c>
      <c r="F54" s="34">
        <f t="shared" si="5"/>
        <v>0.1814269816588287</v>
      </c>
      <c r="G54" s="47">
        <v>383</v>
      </c>
      <c r="H54" s="48">
        <v>410464</v>
      </c>
      <c r="I54" s="48">
        <v>151764</v>
      </c>
      <c r="J54" s="163">
        <v>138009.967</v>
      </c>
      <c r="K54" s="50">
        <f t="shared" si="6"/>
        <v>0.22076184889079611</v>
      </c>
      <c r="L54" s="129"/>
      <c r="M54" s="130"/>
      <c r="N54" s="130"/>
      <c r="O54" s="170"/>
      <c r="P54" s="132">
        <v>0.28120780018482427</v>
      </c>
    </row>
    <row r="55" spans="1:16" x14ac:dyDescent="0.2">
      <c r="A55" s="115" t="str">
        <f>$A$15</f>
        <v>De 50 à 59 %</v>
      </c>
      <c r="B55" s="33">
        <v>504</v>
      </c>
      <c r="C55" s="8">
        <v>860097</v>
      </c>
      <c r="D55" s="8">
        <v>235829</v>
      </c>
      <c r="E55" s="153">
        <v>233324.08500000002</v>
      </c>
      <c r="F55" s="34">
        <f t="shared" si="5"/>
        <v>0.32564422782048152</v>
      </c>
      <c r="G55" s="47">
        <v>511</v>
      </c>
      <c r="H55" s="48">
        <v>1083205</v>
      </c>
      <c r="I55" s="48">
        <v>260309</v>
      </c>
      <c r="J55" s="163">
        <v>233303.49</v>
      </c>
      <c r="K55" s="50">
        <f t="shared" si="6"/>
        <v>0.3731941317330752</v>
      </c>
      <c r="L55" s="129"/>
      <c r="M55" s="130"/>
      <c r="N55" s="130"/>
      <c r="O55" s="170"/>
      <c r="P55" s="132">
        <v>0.30651344348079668</v>
      </c>
    </row>
    <row r="56" spans="1:16" x14ac:dyDescent="0.2">
      <c r="A56" s="115" t="str">
        <f>$A$16</f>
        <v>De 60 à 69 %</v>
      </c>
      <c r="B56" s="33">
        <v>342</v>
      </c>
      <c r="C56" s="8">
        <v>1016590</v>
      </c>
      <c r="D56" s="8">
        <v>214130</v>
      </c>
      <c r="E56" s="153">
        <v>193555.51199999999</v>
      </c>
      <c r="F56" s="34">
        <f t="shared" si="5"/>
        <v>0.27014028682738833</v>
      </c>
      <c r="G56" s="47">
        <v>355</v>
      </c>
      <c r="H56" s="48">
        <v>687165</v>
      </c>
      <c r="I56" s="48">
        <v>185950</v>
      </c>
      <c r="J56" s="163">
        <v>156783.46899999998</v>
      </c>
      <c r="K56" s="50">
        <f t="shared" si="6"/>
        <v>0.2507920930953691</v>
      </c>
      <c r="L56" s="129"/>
      <c r="M56" s="130"/>
      <c r="N56" s="130"/>
      <c r="O56" s="170"/>
      <c r="P56" s="132">
        <v>0.22748842254051402</v>
      </c>
    </row>
    <row r="57" spans="1:16" ht="12.75" customHeight="1" x14ac:dyDescent="0.2">
      <c r="A57" s="115" t="str">
        <f>$A$17</f>
        <v>70 % et plus</v>
      </c>
      <c r="B57" s="33">
        <v>181</v>
      </c>
      <c r="C57" s="8">
        <v>99200</v>
      </c>
      <c r="D57" s="8">
        <v>37912</v>
      </c>
      <c r="E57" s="153">
        <v>34104.800999999999</v>
      </c>
      <c r="F57" s="34">
        <f t="shared" si="5"/>
        <v>4.7599164855253513E-2</v>
      </c>
      <c r="G57" s="47">
        <v>159</v>
      </c>
      <c r="H57" s="48">
        <v>77726</v>
      </c>
      <c r="I57" s="48">
        <v>31180</v>
      </c>
      <c r="J57" s="163">
        <v>23656.293000000005</v>
      </c>
      <c r="K57" s="50">
        <f t="shared" si="6"/>
        <v>3.7840795807033263E-2</v>
      </c>
      <c r="L57" s="129"/>
      <c r="M57" s="130"/>
      <c r="N57" s="130"/>
      <c r="O57" s="170"/>
      <c r="P57" s="132">
        <v>5.7268954360466209E-2</v>
      </c>
    </row>
    <row r="58" spans="1:16" ht="12.75" hidden="1" customHeight="1" x14ac:dyDescent="0.2">
      <c r="A58" s="115">
        <f>$A$18</f>
        <v>0</v>
      </c>
      <c r="B58" s="33"/>
      <c r="C58" s="8"/>
      <c r="D58" s="8"/>
      <c r="E58" s="153"/>
      <c r="F58" s="34"/>
      <c r="G58" s="47"/>
      <c r="H58" s="48"/>
      <c r="I58" s="48"/>
      <c r="J58" s="163"/>
      <c r="K58" s="50"/>
      <c r="L58" s="129"/>
      <c r="M58" s="130"/>
      <c r="N58" s="130"/>
      <c r="O58" s="170"/>
      <c r="P58" s="132"/>
    </row>
    <row r="59" spans="1:16" ht="12.75" hidden="1" customHeight="1" x14ac:dyDescent="0.2">
      <c r="A59" s="115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5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5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5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5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5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5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716499.98699999996</v>
      </c>
      <c r="F76" s="67">
        <f t="shared" ref="F76:J76" si="7">SUM(F$52:F$75)</f>
        <v>1.0000000000000002</v>
      </c>
      <c r="G76" s="51">
        <f t="shared" si="7"/>
        <v>1847</v>
      </c>
      <c r="H76" s="68">
        <f t="shared" si="7"/>
        <v>3574632</v>
      </c>
      <c r="I76" s="68">
        <f t="shared" si="7"/>
        <v>783627</v>
      </c>
      <c r="J76" s="164">
        <f t="shared" si="7"/>
        <v>625153.15800000005</v>
      </c>
      <c r="K76" s="69">
        <f t="shared" ref="K76" si="8">SUM(K$52:K$75)</f>
        <v>0.99999999999999989</v>
      </c>
      <c r="L76" s="133"/>
      <c r="M76" s="134"/>
      <c r="N76" s="134"/>
      <c r="O76" s="171"/>
      <c r="P76" s="136">
        <f>SUM(P$52:P$75)</f>
        <v>0.99999999999999989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institutions de prévoyance avec garantie étatique</v>
      </c>
      <c r="E91" s="157"/>
      <c r="J91" s="157"/>
      <c r="O91" s="157"/>
    </row>
    <row r="92" spans="1:16" x14ac:dyDescent="0.2">
      <c r="A92" s="115" t="str">
        <f>$A$12</f>
        <v>Non défini</v>
      </c>
      <c r="B92" s="36">
        <v>0</v>
      </c>
      <c r="C92" s="10">
        <v>0</v>
      </c>
      <c r="D92" s="10">
        <v>0</v>
      </c>
      <c r="E92" s="155">
        <v>0</v>
      </c>
      <c r="F92" s="37">
        <f t="shared" ref="F92:F97" si="9">E92/E$116</f>
        <v>0</v>
      </c>
      <c r="G92" s="53">
        <v>0</v>
      </c>
      <c r="H92" s="54">
        <v>0</v>
      </c>
      <c r="I92" s="54">
        <v>0</v>
      </c>
      <c r="J92" s="165">
        <v>0</v>
      </c>
      <c r="K92" s="56">
        <f t="shared" ref="K92:K97" si="10">J92/J$116</f>
        <v>0</v>
      </c>
      <c r="L92" s="137"/>
      <c r="M92" s="138"/>
      <c r="N92" s="138"/>
      <c r="O92" s="172"/>
      <c r="P92" s="140">
        <v>0</v>
      </c>
    </row>
    <row r="93" spans="1:16" x14ac:dyDescent="0.2">
      <c r="A93" s="115" t="str">
        <f>$A$13</f>
        <v>Moins de 40 %</v>
      </c>
      <c r="B93" s="36">
        <v>6</v>
      </c>
      <c r="C93" s="10">
        <v>1281</v>
      </c>
      <c r="D93" s="10">
        <v>578</v>
      </c>
      <c r="E93" s="155">
        <v>369.28800000000001</v>
      </c>
      <c r="F93" s="37">
        <f t="shared" si="9"/>
        <v>3.4972281979658753E-3</v>
      </c>
      <c r="G93" s="53">
        <v>10</v>
      </c>
      <c r="H93" s="54">
        <v>1568</v>
      </c>
      <c r="I93" s="54">
        <v>852</v>
      </c>
      <c r="J93" s="165">
        <v>509.75900000000001</v>
      </c>
      <c r="K93" s="56">
        <f t="shared" si="10"/>
        <v>4.8530178464426393E-3</v>
      </c>
      <c r="L93" s="137"/>
      <c r="M93" s="138"/>
      <c r="N93" s="138"/>
      <c r="O93" s="172"/>
      <c r="P93" s="140">
        <v>4.2262863692462084E-3</v>
      </c>
    </row>
    <row r="94" spans="1:16" x14ac:dyDescent="0.2">
      <c r="A94" s="115" t="str">
        <f>$A$14</f>
        <v>De 40 à 49 %</v>
      </c>
      <c r="B94" s="36">
        <v>7</v>
      </c>
      <c r="C94" s="10">
        <v>91545</v>
      </c>
      <c r="D94" s="10">
        <v>36828</v>
      </c>
      <c r="E94" s="155">
        <v>29197.835999999996</v>
      </c>
      <c r="F94" s="37">
        <f t="shared" si="9"/>
        <v>0.27650910773917142</v>
      </c>
      <c r="G94" s="53">
        <v>10</v>
      </c>
      <c r="H94" s="54">
        <v>69446</v>
      </c>
      <c r="I94" s="54">
        <v>28580</v>
      </c>
      <c r="J94" s="165">
        <v>21418.579000000002</v>
      </c>
      <c r="K94" s="56">
        <f t="shared" si="10"/>
        <v>0.20390958498514308</v>
      </c>
      <c r="L94" s="137"/>
      <c r="M94" s="138"/>
      <c r="N94" s="138"/>
      <c r="O94" s="172"/>
      <c r="P94" s="140">
        <v>0.24889692338736791</v>
      </c>
    </row>
    <row r="95" spans="1:16" x14ac:dyDescent="0.2">
      <c r="A95" s="115" t="str">
        <f>$A$15</f>
        <v>De 50 à 59 %</v>
      </c>
      <c r="B95" s="36">
        <v>10</v>
      </c>
      <c r="C95" s="10">
        <v>64844</v>
      </c>
      <c r="D95" s="10">
        <v>32855</v>
      </c>
      <c r="E95" s="155">
        <v>26013.883999999998</v>
      </c>
      <c r="F95" s="37">
        <f t="shared" si="9"/>
        <v>0.24635647154365511</v>
      </c>
      <c r="G95" s="53">
        <v>16</v>
      </c>
      <c r="H95" s="54">
        <v>110040</v>
      </c>
      <c r="I95" s="54">
        <v>47277</v>
      </c>
      <c r="J95" s="165">
        <v>35530.845999999998</v>
      </c>
      <c r="K95" s="56">
        <f t="shared" si="10"/>
        <v>0.33826147206269053</v>
      </c>
      <c r="L95" s="137"/>
      <c r="M95" s="138"/>
      <c r="N95" s="138"/>
      <c r="O95" s="172"/>
      <c r="P95" s="140">
        <v>0.34869720812288835</v>
      </c>
    </row>
    <row r="96" spans="1:16" x14ac:dyDescent="0.2">
      <c r="A96" s="115" t="str">
        <f>$A$16</f>
        <v>De 60 à 69 %</v>
      </c>
      <c r="B96" s="36">
        <v>16</v>
      </c>
      <c r="C96" s="10">
        <v>155250</v>
      </c>
      <c r="D96" s="10">
        <v>68834</v>
      </c>
      <c r="E96" s="155">
        <v>40924.256999999998</v>
      </c>
      <c r="F96" s="37">
        <f t="shared" si="9"/>
        <v>0.38756056400750183</v>
      </c>
      <c r="G96" s="53">
        <v>13</v>
      </c>
      <c r="H96" s="54">
        <v>98749</v>
      </c>
      <c r="I96" s="54">
        <v>43350</v>
      </c>
      <c r="J96" s="165">
        <v>23657.010000000002</v>
      </c>
      <c r="K96" s="56">
        <f t="shared" si="10"/>
        <v>0.22521994064542655</v>
      </c>
      <c r="L96" s="137"/>
      <c r="M96" s="138"/>
      <c r="N96" s="138"/>
      <c r="O96" s="172"/>
      <c r="P96" s="140">
        <v>0.23349137567320694</v>
      </c>
    </row>
    <row r="97" spans="1:16" ht="12.75" customHeight="1" x14ac:dyDescent="0.2">
      <c r="A97" s="115" t="str">
        <f>$A$17</f>
        <v>70 % et plus</v>
      </c>
      <c r="B97" s="36">
        <v>4</v>
      </c>
      <c r="C97" s="10">
        <v>26460</v>
      </c>
      <c r="D97" s="10">
        <v>14817</v>
      </c>
      <c r="E97" s="155">
        <v>9089.2170000000006</v>
      </c>
      <c r="F97" s="37">
        <f t="shared" si="9"/>
        <v>8.6076628511705763E-2</v>
      </c>
      <c r="G97" s="53">
        <v>9</v>
      </c>
      <c r="H97" s="54">
        <v>78313</v>
      </c>
      <c r="I97" s="54">
        <v>39646</v>
      </c>
      <c r="J97" s="165">
        <v>23923.395000000004</v>
      </c>
      <c r="K97" s="56">
        <f t="shared" si="10"/>
        <v>0.22775598446029718</v>
      </c>
      <c r="L97" s="137"/>
      <c r="M97" s="138"/>
      <c r="N97" s="138"/>
      <c r="O97" s="172"/>
      <c r="P97" s="140">
        <v>0.16468820644729065</v>
      </c>
    </row>
    <row r="98" spans="1:16" ht="12.75" hidden="1" customHeight="1" x14ac:dyDescent="0.2">
      <c r="A98" s="115">
        <f>$A$18</f>
        <v>0</v>
      </c>
      <c r="B98" s="36"/>
      <c r="C98" s="10"/>
      <c r="D98" s="10"/>
      <c r="E98" s="155"/>
      <c r="F98" s="37"/>
      <c r="G98" s="53"/>
      <c r="H98" s="54"/>
      <c r="I98" s="54"/>
      <c r="J98" s="165"/>
      <c r="K98" s="56"/>
      <c r="L98" s="137"/>
      <c r="M98" s="138"/>
      <c r="N98" s="138"/>
      <c r="O98" s="172"/>
      <c r="P98" s="140"/>
    </row>
    <row r="99" spans="1:16" ht="12.75" hidden="1" customHeight="1" x14ac:dyDescent="0.2">
      <c r="A99" s="115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105594.48199999999</v>
      </c>
      <c r="F116" s="70">
        <f t="shared" ref="F116:J116" si="11">SUM(F$92:F$115)</f>
        <v>1</v>
      </c>
      <c r="G116" s="57">
        <f t="shared" si="11"/>
        <v>58</v>
      </c>
      <c r="H116" s="71">
        <f t="shared" si="11"/>
        <v>358116</v>
      </c>
      <c r="I116" s="71">
        <f t="shared" si="11"/>
        <v>159705</v>
      </c>
      <c r="J116" s="166">
        <f t="shared" si="11"/>
        <v>105039.58900000001</v>
      </c>
      <c r="K116" s="72">
        <f t="shared" ref="K116" si="12">SUM(K$92:K$115)</f>
        <v>1</v>
      </c>
      <c r="L116" s="141"/>
      <c r="M116" s="142"/>
      <c r="N116" s="142"/>
      <c r="O116" s="173"/>
      <c r="P116" s="144">
        <f>SUM(P$92:P$115)</f>
        <v>1</v>
      </c>
    </row>
    <row r="120" spans="1:16" x14ac:dyDescent="0.2">
      <c r="A120" s="111" t="str">
        <f>Translation!$A$36</f>
        <v>somme du bilan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Translation!$A$301</f>
        <v>Exposition au risque de change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10" t="str">
        <f>Translation!$A$27</f>
        <v>retour à la vue d'ensemble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/>
      <c r="B4" s="28" t="str">
        <f>Translation!$A$40</f>
        <v>Nombre d'IP</v>
      </c>
      <c r="C4" s="19" t="str">
        <f>Translation!$A$41</f>
        <v>Nombre d'assurés actifs</v>
      </c>
      <c r="D4" s="19" t="str">
        <f>Translation!$A$42</f>
        <v>Nombre de rentiers</v>
      </c>
      <c r="E4" s="149" t="str">
        <f>Translation!$A$43</f>
        <v>Somme du bilan</v>
      </c>
      <c r="F4" s="29" t="str">
        <f>Translation!$A$46</f>
        <v>Part de la somme du bilan</v>
      </c>
      <c r="G4" s="28" t="str">
        <f>Translation!$A$40</f>
        <v>Nombre d'IP</v>
      </c>
      <c r="H4" s="19" t="str">
        <f>Translation!$A$41</f>
        <v>Nombre d'assurés actifs</v>
      </c>
      <c r="I4" s="19" t="str">
        <f>Translation!$A$42</f>
        <v>Nombre de rentiers</v>
      </c>
      <c r="J4" s="149" t="str">
        <f>Translation!$A$43</f>
        <v>Somme du bilan</v>
      </c>
      <c r="K4" s="29" t="str">
        <f>Translation!$A$46</f>
        <v>Part de la somme du bilan</v>
      </c>
      <c r="L4" s="28" t="str">
        <f>Translation!$A$40</f>
        <v>Nombre d'IP</v>
      </c>
      <c r="M4" s="73" t="str">
        <f>Translation!$A$41</f>
        <v>Nombre d'assurés actifs</v>
      </c>
      <c r="N4" s="73" t="str">
        <f>Translation!$A$42</f>
        <v>Nombre de rentiers</v>
      </c>
      <c r="O4" s="149" t="str">
        <f>Translation!$A$43</f>
        <v>Somme du bilan</v>
      </c>
      <c r="P4" s="29" t="str">
        <f>Translation!$A$46</f>
        <v>Part de la somme du bilan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toutes les institutions de prévoyance</v>
      </c>
      <c r="E11" s="157"/>
      <c r="J11" s="157"/>
      <c r="O11" s="157"/>
    </row>
    <row r="12" spans="1:16" x14ac:dyDescent="0.2">
      <c r="A12" s="115" t="str">
        <f>Translation!$A302</f>
        <v>Non défini</v>
      </c>
      <c r="B12" s="30">
        <v>149</v>
      </c>
      <c r="C12" s="6">
        <v>1014705</v>
      </c>
      <c r="D12" s="6">
        <v>5133</v>
      </c>
      <c r="E12" s="151">
        <v>57114.597999999998</v>
      </c>
      <c r="F12" s="31">
        <f t="shared" ref="F12:F18" si="0">E12/E$36</f>
        <v>6.9474494907470291E-2</v>
      </c>
      <c r="G12" s="41">
        <v>165</v>
      </c>
      <c r="H12" s="42">
        <v>1041650</v>
      </c>
      <c r="I12" s="42">
        <v>90221</v>
      </c>
      <c r="J12" s="161">
        <v>23838.482</v>
      </c>
      <c r="K12" s="44">
        <f t="shared" ref="K12:K18" si="1">J12/J$36</f>
        <v>3.2646834822641697E-2</v>
      </c>
      <c r="L12" s="76"/>
      <c r="M12" s="123"/>
      <c r="N12" s="123"/>
      <c r="O12" s="168"/>
      <c r="P12" s="125">
        <v>0</v>
      </c>
    </row>
    <row r="13" spans="1:16" x14ac:dyDescent="0.2">
      <c r="A13" s="115" t="str">
        <f>Translation!$A325</f>
        <v>Moins de 5 %</v>
      </c>
      <c r="B13" s="30">
        <v>428</v>
      </c>
      <c r="C13" s="6">
        <v>384215</v>
      </c>
      <c r="D13" s="6">
        <v>119779</v>
      </c>
      <c r="E13" s="151">
        <v>85938.614000000001</v>
      </c>
      <c r="F13" s="31">
        <f t="shared" si="0"/>
        <v>0.10453617831115708</v>
      </c>
      <c r="G13" s="41">
        <v>428</v>
      </c>
      <c r="H13" s="42">
        <v>404100</v>
      </c>
      <c r="I13" s="42">
        <v>112709</v>
      </c>
      <c r="J13" s="161">
        <v>82879.069000000003</v>
      </c>
      <c r="K13" s="44">
        <f t="shared" si="1"/>
        <v>0.11350300224222852</v>
      </c>
      <c r="L13" s="76"/>
      <c r="M13" s="123"/>
      <c r="N13" s="123"/>
      <c r="O13" s="168"/>
      <c r="P13" s="125">
        <v>0.19433239442173983</v>
      </c>
    </row>
    <row r="14" spans="1:16" x14ac:dyDescent="0.2">
      <c r="A14" s="115" t="str">
        <f>Translation!$A326</f>
        <v>De 5 à 9 %</v>
      </c>
      <c r="B14" s="30">
        <v>139</v>
      </c>
      <c r="C14" s="6">
        <v>409880</v>
      </c>
      <c r="D14" s="6">
        <v>125690</v>
      </c>
      <c r="E14" s="151">
        <v>119490.04300000001</v>
      </c>
      <c r="F14" s="31">
        <f t="shared" si="0"/>
        <v>0.145348311545446</v>
      </c>
      <c r="G14" s="41">
        <v>139</v>
      </c>
      <c r="H14" s="42">
        <v>341649</v>
      </c>
      <c r="I14" s="42">
        <v>111163</v>
      </c>
      <c r="J14" s="161">
        <v>104070.08500000001</v>
      </c>
      <c r="K14" s="44">
        <f t="shared" si="1"/>
        <v>0.14252412863257324</v>
      </c>
      <c r="L14" s="76"/>
      <c r="M14" s="123"/>
      <c r="N14" s="123"/>
      <c r="O14" s="168"/>
      <c r="P14" s="125">
        <v>0.1303879937846818</v>
      </c>
    </row>
    <row r="15" spans="1:16" x14ac:dyDescent="0.2">
      <c r="A15" s="115" t="str">
        <f>Translation!$A327</f>
        <v>De 10 à 14 %</v>
      </c>
      <c r="B15" s="30">
        <v>171</v>
      </c>
      <c r="C15" s="6">
        <v>314424</v>
      </c>
      <c r="D15" s="6">
        <v>147859</v>
      </c>
      <c r="E15" s="151">
        <v>122116.02499999999</v>
      </c>
      <c r="F15" s="31">
        <f t="shared" si="0"/>
        <v>0.14854256974693256</v>
      </c>
      <c r="G15" s="41">
        <v>184</v>
      </c>
      <c r="H15" s="42">
        <v>404210</v>
      </c>
      <c r="I15" s="42">
        <v>153338</v>
      </c>
      <c r="J15" s="161">
        <v>122983.94100000001</v>
      </c>
      <c r="K15" s="44">
        <f t="shared" si="1"/>
        <v>0.16842668118148263</v>
      </c>
      <c r="L15" s="76"/>
      <c r="M15" s="123"/>
      <c r="N15" s="123"/>
      <c r="O15" s="168"/>
      <c r="P15" s="125">
        <v>0.11461554501559519</v>
      </c>
    </row>
    <row r="16" spans="1:16" x14ac:dyDescent="0.2">
      <c r="A16" s="115" t="str">
        <f>Translation!$A328</f>
        <v>De 15 à 19 %</v>
      </c>
      <c r="B16" s="30">
        <v>256</v>
      </c>
      <c r="C16" s="6">
        <v>471985</v>
      </c>
      <c r="D16" s="6">
        <v>146185</v>
      </c>
      <c r="E16" s="151">
        <v>139226.28</v>
      </c>
      <c r="F16" s="31">
        <f t="shared" si="0"/>
        <v>0.16935557317318478</v>
      </c>
      <c r="G16" s="41">
        <v>242</v>
      </c>
      <c r="H16" s="42">
        <v>420348</v>
      </c>
      <c r="I16" s="42">
        <v>123472</v>
      </c>
      <c r="J16" s="161">
        <v>102747.402</v>
      </c>
      <c r="K16" s="44">
        <f t="shared" si="1"/>
        <v>0.14071271239291014</v>
      </c>
      <c r="L16" s="76"/>
      <c r="M16" s="123"/>
      <c r="N16" s="123"/>
      <c r="O16" s="168"/>
      <c r="P16" s="125">
        <v>0.13600978960973167</v>
      </c>
    </row>
    <row r="17" spans="1:16" ht="12.75" customHeight="1" x14ac:dyDescent="0.2">
      <c r="A17" s="111" t="str">
        <f>Translation!$A329</f>
        <v>De 20 à 24 %</v>
      </c>
      <c r="B17" s="30">
        <v>283</v>
      </c>
      <c r="C17" s="6">
        <v>473063</v>
      </c>
      <c r="D17" s="6">
        <v>136508</v>
      </c>
      <c r="E17" s="151">
        <v>119279.298</v>
      </c>
      <c r="F17" s="31">
        <f t="shared" si="0"/>
        <v>0.14509196022823503</v>
      </c>
      <c r="G17" s="41">
        <v>295</v>
      </c>
      <c r="H17" s="42">
        <v>542208</v>
      </c>
      <c r="I17" s="42">
        <v>149361</v>
      </c>
      <c r="J17" s="161">
        <v>120362.386</v>
      </c>
      <c r="K17" s="44">
        <f t="shared" si="1"/>
        <v>0.16483645790034121</v>
      </c>
      <c r="L17" s="76"/>
      <c r="M17" s="123"/>
      <c r="N17" s="123"/>
      <c r="O17" s="168"/>
      <c r="P17" s="125">
        <v>0.1321661105099631</v>
      </c>
    </row>
    <row r="18" spans="1:16" ht="12.75" customHeight="1" x14ac:dyDescent="0.2">
      <c r="A18" s="111" t="str">
        <f>Translation!$A330</f>
        <v>25 % et plus</v>
      </c>
      <c r="B18" s="30">
        <v>419</v>
      </c>
      <c r="C18" s="6">
        <v>935765</v>
      </c>
      <c r="D18" s="6">
        <v>187664</v>
      </c>
      <c r="E18" s="151">
        <v>178929.61099999998</v>
      </c>
      <c r="F18" s="31">
        <f t="shared" si="0"/>
        <v>0.21765091208757417</v>
      </c>
      <c r="G18" s="41">
        <v>452</v>
      </c>
      <c r="H18" s="42">
        <v>778583</v>
      </c>
      <c r="I18" s="42">
        <v>203068</v>
      </c>
      <c r="J18" s="161">
        <v>173311.38200000004</v>
      </c>
      <c r="K18" s="44">
        <f t="shared" si="1"/>
        <v>0.23735018282782264</v>
      </c>
      <c r="L18" s="76"/>
      <c r="M18" s="123"/>
      <c r="N18" s="123"/>
      <c r="O18" s="168"/>
      <c r="P18" s="125">
        <v>0.29248816665828831</v>
      </c>
    </row>
    <row r="19" spans="1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1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1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1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1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1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1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1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1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1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1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1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1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1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2">SUM(C$12:C$35)</f>
        <v>4004037</v>
      </c>
      <c r="D36" s="7">
        <f t="shared" si="2"/>
        <v>868818</v>
      </c>
      <c r="E36" s="152">
        <f t="shared" si="2"/>
        <v>822094.46900000004</v>
      </c>
      <c r="F36" s="64">
        <f>SUM(F$12:F$35)</f>
        <v>0.99999999999999989</v>
      </c>
      <c r="G36" s="45">
        <f t="shared" ref="G36:J36" si="3">SUM(G$12:G$35)</f>
        <v>1905</v>
      </c>
      <c r="H36" s="65">
        <f t="shared" si="3"/>
        <v>3932748</v>
      </c>
      <c r="I36" s="65">
        <f t="shared" si="3"/>
        <v>943332</v>
      </c>
      <c r="J36" s="162">
        <f t="shared" si="3"/>
        <v>730192.74699999997</v>
      </c>
      <c r="K36" s="66">
        <f t="shared" ref="K36" si="4">SUM(K$12:K$35)</f>
        <v>1</v>
      </c>
      <c r="L36" s="77"/>
      <c r="M36" s="126"/>
      <c r="N36" s="126"/>
      <c r="O36" s="169"/>
      <c r="P36" s="128">
        <f>SUM(P$12:P$35)</f>
        <v>0.99999999999999978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institutions de prévoyance sans garantie étatique</v>
      </c>
      <c r="E51" s="157"/>
      <c r="J51" s="157"/>
      <c r="O51" s="157"/>
    </row>
    <row r="52" spans="1:16" x14ac:dyDescent="0.2">
      <c r="A52" s="115" t="str">
        <f>$A$12</f>
        <v>Non défini</v>
      </c>
      <c r="B52" s="33">
        <v>149</v>
      </c>
      <c r="C52" s="8">
        <v>1014705</v>
      </c>
      <c r="D52" s="8">
        <v>5133</v>
      </c>
      <c r="E52" s="153">
        <v>57114.597999999998</v>
      </c>
      <c r="F52" s="34">
        <f t="shared" ref="F52:F58" si="5">E52/E$76</f>
        <v>7.9713327336040835E-2</v>
      </c>
      <c r="G52" s="47">
        <v>165</v>
      </c>
      <c r="H52" s="48">
        <v>1041650</v>
      </c>
      <c r="I52" s="48">
        <v>90221</v>
      </c>
      <c r="J52" s="163">
        <v>23838.482</v>
      </c>
      <c r="K52" s="50">
        <f t="shared" ref="K52:K58" si="6">J52/J$76</f>
        <v>3.8132226791054616E-2</v>
      </c>
      <c r="L52" s="129"/>
      <c r="M52" s="130"/>
      <c r="N52" s="130"/>
      <c r="O52" s="170"/>
      <c r="P52" s="132">
        <v>0</v>
      </c>
    </row>
    <row r="53" spans="1:16" x14ac:dyDescent="0.2">
      <c r="A53" s="115" t="str">
        <f>$A$13</f>
        <v>Moins de 5 %</v>
      </c>
      <c r="B53" s="33">
        <v>414</v>
      </c>
      <c r="C53" s="8">
        <v>293601</v>
      </c>
      <c r="D53" s="8">
        <v>74738</v>
      </c>
      <c r="E53" s="153">
        <v>62747.743000000002</v>
      </c>
      <c r="F53" s="34">
        <f t="shared" si="5"/>
        <v>8.7575358183502663E-2</v>
      </c>
      <c r="G53" s="47">
        <v>408</v>
      </c>
      <c r="H53" s="48">
        <v>326876</v>
      </c>
      <c r="I53" s="48">
        <v>79907</v>
      </c>
      <c r="J53" s="163">
        <v>62921.533000000003</v>
      </c>
      <c r="K53" s="50">
        <f t="shared" si="6"/>
        <v>0.10064978828756073</v>
      </c>
      <c r="L53" s="129"/>
      <c r="M53" s="130"/>
      <c r="N53" s="130"/>
      <c r="O53" s="170"/>
      <c r="P53" s="132">
        <v>0.19793483563565106</v>
      </c>
    </row>
    <row r="54" spans="1:16" x14ac:dyDescent="0.2">
      <c r="A54" s="115" t="str">
        <f>$A$14</f>
        <v>De 5 à 9 %</v>
      </c>
      <c r="B54" s="33">
        <v>137</v>
      </c>
      <c r="C54" s="8">
        <v>371424</v>
      </c>
      <c r="D54" s="8">
        <v>109809</v>
      </c>
      <c r="E54" s="153">
        <v>106750.289</v>
      </c>
      <c r="F54" s="34">
        <f t="shared" si="5"/>
        <v>0.14898854282882215</v>
      </c>
      <c r="G54" s="47">
        <v>137</v>
      </c>
      <c r="H54" s="48">
        <v>300182</v>
      </c>
      <c r="I54" s="48">
        <v>95587</v>
      </c>
      <c r="J54" s="163">
        <v>92561.457999999999</v>
      </c>
      <c r="K54" s="50">
        <f t="shared" si="6"/>
        <v>0.14806204978012763</v>
      </c>
      <c r="L54" s="129"/>
      <c r="M54" s="130"/>
      <c r="N54" s="130"/>
      <c r="O54" s="170"/>
      <c r="P54" s="132">
        <v>0.13568395387658974</v>
      </c>
    </row>
    <row r="55" spans="1:16" x14ac:dyDescent="0.2">
      <c r="A55" s="115" t="str">
        <f>$A$15</f>
        <v>De 10 à 14 %</v>
      </c>
      <c r="B55" s="33">
        <v>168</v>
      </c>
      <c r="C55" s="8">
        <v>295392</v>
      </c>
      <c r="D55" s="8">
        <v>142471</v>
      </c>
      <c r="E55" s="153">
        <v>118307.083</v>
      </c>
      <c r="F55" s="34">
        <f t="shared" si="5"/>
        <v>0.16511805324010426</v>
      </c>
      <c r="G55" s="47">
        <v>181</v>
      </c>
      <c r="H55" s="48">
        <v>385458</v>
      </c>
      <c r="I55" s="48">
        <v>147931</v>
      </c>
      <c r="J55" s="163">
        <v>119414.46400000001</v>
      </c>
      <c r="K55" s="50">
        <f t="shared" si="6"/>
        <v>0.19101633331267598</v>
      </c>
      <c r="L55" s="129"/>
      <c r="M55" s="130"/>
      <c r="N55" s="130"/>
      <c r="O55" s="170"/>
      <c r="P55" s="132">
        <v>0.12795518490239424</v>
      </c>
    </row>
    <row r="56" spans="1:16" x14ac:dyDescent="0.2">
      <c r="A56" s="115" t="str">
        <f>$A$16</f>
        <v>De 15 à 19 %</v>
      </c>
      <c r="B56" s="33">
        <v>251</v>
      </c>
      <c r="C56" s="8">
        <v>460552</v>
      </c>
      <c r="D56" s="8">
        <v>139344</v>
      </c>
      <c r="E56" s="153">
        <v>134113.38500000001</v>
      </c>
      <c r="F56" s="34">
        <f t="shared" si="5"/>
        <v>0.18717848909046808</v>
      </c>
      <c r="G56" s="47">
        <v>236</v>
      </c>
      <c r="H56" s="48">
        <v>399329</v>
      </c>
      <c r="I56" s="48">
        <v>114308</v>
      </c>
      <c r="J56" s="163">
        <v>95715.116999999998</v>
      </c>
      <c r="K56" s="50">
        <f t="shared" si="6"/>
        <v>0.15310666798231226</v>
      </c>
      <c r="L56" s="129"/>
      <c r="M56" s="130"/>
      <c r="N56" s="130"/>
      <c r="O56" s="170"/>
      <c r="P56" s="132">
        <v>0.15399728421237152</v>
      </c>
    </row>
    <row r="57" spans="1:16" ht="12.75" customHeight="1" x14ac:dyDescent="0.2">
      <c r="A57" s="115" t="str">
        <f>$A$17</f>
        <v>De 20 à 24 %</v>
      </c>
      <c r="B57" s="33">
        <v>274</v>
      </c>
      <c r="C57" s="8">
        <v>396858</v>
      </c>
      <c r="D57" s="8">
        <v>100068</v>
      </c>
      <c r="E57" s="153">
        <v>91240.721999999994</v>
      </c>
      <c r="F57" s="34">
        <f t="shared" si="5"/>
        <v>0.12734225213600736</v>
      </c>
      <c r="G57" s="47">
        <v>281</v>
      </c>
      <c r="H57" s="48">
        <v>472983</v>
      </c>
      <c r="I57" s="48">
        <v>111109</v>
      </c>
      <c r="J57" s="163">
        <v>93636.417000000001</v>
      </c>
      <c r="K57" s="50">
        <f t="shared" si="6"/>
        <v>0.14978156280864535</v>
      </c>
      <c r="L57" s="129"/>
      <c r="M57" s="130"/>
      <c r="N57" s="130"/>
      <c r="O57" s="170"/>
      <c r="P57" s="132">
        <v>0.13544293417953449</v>
      </c>
    </row>
    <row r="58" spans="1:16" ht="12.75" customHeight="1" x14ac:dyDescent="0.2">
      <c r="A58" s="115" t="str">
        <f>$A$18</f>
        <v>25 % et plus</v>
      </c>
      <c r="B58" s="33">
        <v>409</v>
      </c>
      <c r="C58" s="8">
        <v>832125</v>
      </c>
      <c r="D58" s="8">
        <v>143343</v>
      </c>
      <c r="E58" s="153">
        <v>146226.16699999999</v>
      </c>
      <c r="F58" s="34">
        <f t="shared" si="5"/>
        <v>0.20408397718505469</v>
      </c>
      <c r="G58" s="47">
        <v>439</v>
      </c>
      <c r="H58" s="48">
        <v>648154</v>
      </c>
      <c r="I58" s="48">
        <v>144564</v>
      </c>
      <c r="J58" s="163">
        <v>137065.68700000001</v>
      </c>
      <c r="K58" s="50">
        <f t="shared" si="6"/>
        <v>0.21925137103762338</v>
      </c>
      <c r="L58" s="129"/>
      <c r="M58" s="130"/>
      <c r="N58" s="130"/>
      <c r="O58" s="170"/>
      <c r="P58" s="132">
        <v>0.24898580719345895</v>
      </c>
    </row>
    <row r="59" spans="1:16" ht="12.75" hidden="1" customHeight="1" x14ac:dyDescent="0.2">
      <c r="A59" s="115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5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5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5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5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5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5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716499.98699999996</v>
      </c>
      <c r="F76" s="67">
        <f t="shared" ref="F76:J76" si="7">SUM(F$52:F$75)</f>
        <v>1.0000000000000002</v>
      </c>
      <c r="G76" s="51">
        <f t="shared" si="7"/>
        <v>1847</v>
      </c>
      <c r="H76" s="68">
        <f t="shared" si="7"/>
        <v>3574632</v>
      </c>
      <c r="I76" s="68">
        <f t="shared" si="7"/>
        <v>783627</v>
      </c>
      <c r="J76" s="164">
        <f t="shared" si="7"/>
        <v>625153.15800000005</v>
      </c>
      <c r="K76" s="69">
        <f t="shared" ref="K76" si="8">SUM(K$52:K$75)</f>
        <v>1</v>
      </c>
      <c r="L76" s="133"/>
      <c r="M76" s="134"/>
      <c r="N76" s="134"/>
      <c r="O76" s="171"/>
      <c r="P76" s="136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institutions de prévoyance avec garantie étatique</v>
      </c>
      <c r="E91" s="157"/>
      <c r="J91" s="157"/>
      <c r="O91" s="157"/>
    </row>
    <row r="92" spans="1:16" x14ac:dyDescent="0.2">
      <c r="A92" s="115" t="str">
        <f>$A$12</f>
        <v>Non défini</v>
      </c>
      <c r="B92" s="36">
        <v>0</v>
      </c>
      <c r="C92" s="10">
        <v>0</v>
      </c>
      <c r="D92" s="10">
        <v>0</v>
      </c>
      <c r="E92" s="155">
        <v>0</v>
      </c>
      <c r="F92" s="37">
        <f t="shared" ref="F92:F98" si="9">E92/E$116</f>
        <v>0</v>
      </c>
      <c r="G92" s="53">
        <v>0</v>
      </c>
      <c r="H92" s="54">
        <v>0</v>
      </c>
      <c r="I92" s="54">
        <v>0</v>
      </c>
      <c r="J92" s="165">
        <v>0</v>
      </c>
      <c r="K92" s="56">
        <f t="shared" ref="K92:K98" si="10">J92/J$116</f>
        <v>0</v>
      </c>
      <c r="L92" s="137"/>
      <c r="M92" s="138"/>
      <c r="N92" s="138"/>
      <c r="O92" s="172"/>
      <c r="P92" s="140">
        <v>0</v>
      </c>
    </row>
    <row r="93" spans="1:16" x14ac:dyDescent="0.2">
      <c r="A93" s="115" t="str">
        <f>$A$13</f>
        <v>Moins de 5 %</v>
      </c>
      <c r="B93" s="36">
        <v>14</v>
      </c>
      <c r="C93" s="10">
        <v>90614</v>
      </c>
      <c r="D93" s="10">
        <v>45041</v>
      </c>
      <c r="E93" s="155">
        <v>23190.870999999999</v>
      </c>
      <c r="F93" s="37">
        <f t="shared" si="9"/>
        <v>0.2196219969145736</v>
      </c>
      <c r="G93" s="53">
        <v>20</v>
      </c>
      <c r="H93" s="54">
        <v>77224</v>
      </c>
      <c r="I93" s="54">
        <v>32802</v>
      </c>
      <c r="J93" s="165">
        <v>19957.536</v>
      </c>
      <c r="K93" s="56">
        <f t="shared" si="10"/>
        <v>0.19000013413990033</v>
      </c>
      <c r="L93" s="137"/>
      <c r="M93" s="138"/>
      <c r="N93" s="138"/>
      <c r="O93" s="172"/>
      <c r="P93" s="140">
        <v>0.1726621309642303</v>
      </c>
    </row>
    <row r="94" spans="1:16" x14ac:dyDescent="0.2">
      <c r="A94" s="115" t="str">
        <f>$A$14</f>
        <v>De 5 à 9 %</v>
      </c>
      <c r="B94" s="36">
        <v>2</v>
      </c>
      <c r="C94" s="10">
        <v>38456</v>
      </c>
      <c r="D94" s="10">
        <v>15881</v>
      </c>
      <c r="E94" s="155">
        <v>12739.754000000001</v>
      </c>
      <c r="F94" s="37">
        <f t="shared" si="9"/>
        <v>0.12064791415899934</v>
      </c>
      <c r="G94" s="53">
        <v>2</v>
      </c>
      <c r="H94" s="54">
        <v>41467</v>
      </c>
      <c r="I94" s="54">
        <v>15576</v>
      </c>
      <c r="J94" s="165">
        <v>11508.627</v>
      </c>
      <c r="K94" s="56">
        <f t="shared" si="10"/>
        <v>0.10956466137734031</v>
      </c>
      <c r="L94" s="137"/>
      <c r="M94" s="138"/>
      <c r="N94" s="138"/>
      <c r="O94" s="172"/>
      <c r="P94" s="140">
        <v>9.8530471721885934E-2</v>
      </c>
    </row>
    <row r="95" spans="1:16" x14ac:dyDescent="0.2">
      <c r="A95" s="115" t="str">
        <f>$A$15</f>
        <v>De 10 à 14 %</v>
      </c>
      <c r="B95" s="36">
        <v>3</v>
      </c>
      <c r="C95" s="10">
        <v>19032</v>
      </c>
      <c r="D95" s="10">
        <v>5388</v>
      </c>
      <c r="E95" s="155">
        <v>3808.942</v>
      </c>
      <c r="F95" s="37">
        <f t="shared" si="9"/>
        <v>3.6071411383030411E-2</v>
      </c>
      <c r="G95" s="53">
        <v>3</v>
      </c>
      <c r="H95" s="54">
        <v>18752</v>
      </c>
      <c r="I95" s="54">
        <v>5407</v>
      </c>
      <c r="J95" s="165">
        <v>3569.4769999999999</v>
      </c>
      <c r="K95" s="56">
        <f t="shared" si="10"/>
        <v>3.3982206461222915E-2</v>
      </c>
      <c r="L95" s="137"/>
      <c r="M95" s="138"/>
      <c r="N95" s="138"/>
      <c r="O95" s="172"/>
      <c r="P95" s="140">
        <v>3.4371762088909054E-2</v>
      </c>
    </row>
    <row r="96" spans="1:16" x14ac:dyDescent="0.2">
      <c r="A96" s="115" t="str">
        <f>$A$16</f>
        <v>De 15 à 19 %</v>
      </c>
      <c r="B96" s="36">
        <v>5</v>
      </c>
      <c r="C96" s="10">
        <v>11433</v>
      </c>
      <c r="D96" s="10">
        <v>6841</v>
      </c>
      <c r="E96" s="155">
        <v>5112.8950000000004</v>
      </c>
      <c r="F96" s="37">
        <f t="shared" si="9"/>
        <v>4.8420096421326261E-2</v>
      </c>
      <c r="G96" s="53">
        <v>6</v>
      </c>
      <c r="H96" s="54">
        <v>21019</v>
      </c>
      <c r="I96" s="54">
        <v>9164</v>
      </c>
      <c r="J96" s="165">
        <v>7032.2849999999999</v>
      </c>
      <c r="K96" s="56">
        <f t="shared" si="10"/>
        <v>6.6948900571193209E-2</v>
      </c>
      <c r="L96" s="137"/>
      <c r="M96" s="138"/>
      <c r="N96" s="138"/>
      <c r="O96" s="172"/>
      <c r="P96" s="140">
        <v>2.7807122630876781E-2</v>
      </c>
    </row>
    <row r="97" spans="1:16" ht="12.75" customHeight="1" x14ac:dyDescent="0.2">
      <c r="A97" s="115" t="str">
        <f>$A$17</f>
        <v>De 20 à 24 %</v>
      </c>
      <c r="B97" s="36">
        <v>9</v>
      </c>
      <c r="C97" s="10">
        <v>76205</v>
      </c>
      <c r="D97" s="10">
        <v>36440</v>
      </c>
      <c r="E97" s="155">
        <v>28038.576000000001</v>
      </c>
      <c r="F97" s="37">
        <f t="shared" si="9"/>
        <v>0.26553069316633421</v>
      </c>
      <c r="G97" s="53">
        <v>14</v>
      </c>
      <c r="H97" s="54">
        <v>69225</v>
      </c>
      <c r="I97" s="54">
        <v>38252</v>
      </c>
      <c r="J97" s="165">
        <v>26725.969000000001</v>
      </c>
      <c r="K97" s="56">
        <f t="shared" si="10"/>
        <v>0.25443710561357963</v>
      </c>
      <c r="L97" s="137"/>
      <c r="M97" s="138"/>
      <c r="N97" s="138"/>
      <c r="O97" s="172"/>
      <c r="P97" s="140">
        <v>0.11245457935458876</v>
      </c>
    </row>
    <row r="98" spans="1:16" ht="12.75" customHeight="1" x14ac:dyDescent="0.2">
      <c r="A98" s="115" t="str">
        <f>$A$18</f>
        <v>25 % et plus</v>
      </c>
      <c r="B98" s="36">
        <v>10</v>
      </c>
      <c r="C98" s="10">
        <v>103640</v>
      </c>
      <c r="D98" s="10">
        <v>44321</v>
      </c>
      <c r="E98" s="155">
        <v>32703.444</v>
      </c>
      <c r="F98" s="37">
        <f t="shared" si="9"/>
        <v>0.30970788795573617</v>
      </c>
      <c r="G98" s="53">
        <v>13</v>
      </c>
      <c r="H98" s="54">
        <v>130429</v>
      </c>
      <c r="I98" s="54">
        <v>58504</v>
      </c>
      <c r="J98" s="165">
        <v>36245.695</v>
      </c>
      <c r="K98" s="56">
        <f t="shared" si="10"/>
        <v>0.34506699183676354</v>
      </c>
      <c r="L98" s="137"/>
      <c r="M98" s="138"/>
      <c r="N98" s="138"/>
      <c r="O98" s="172"/>
      <c r="P98" s="140">
        <v>0.55417393323950925</v>
      </c>
    </row>
    <row r="99" spans="1:16" ht="12.75" hidden="1" customHeight="1" x14ac:dyDescent="0.2">
      <c r="A99" s="115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:J116" si="11">SUM(F$92:F$115)</f>
        <v>1</v>
      </c>
      <c r="G116" s="57">
        <f t="shared" si="11"/>
        <v>58</v>
      </c>
      <c r="H116" s="71">
        <f t="shared" si="11"/>
        <v>358116</v>
      </c>
      <c r="I116" s="71">
        <f t="shared" si="11"/>
        <v>159705</v>
      </c>
      <c r="J116" s="166">
        <f t="shared" si="11"/>
        <v>105039.58900000001</v>
      </c>
      <c r="K116" s="72">
        <f t="shared" ref="K116" si="12">SUM(K$92:K$115)</f>
        <v>0.99999999999999978</v>
      </c>
      <c r="L116" s="141"/>
      <c r="M116" s="142"/>
      <c r="N116" s="142"/>
      <c r="O116" s="173"/>
      <c r="P116" s="144">
        <f>SUM(P$92:P$115)</f>
        <v>1</v>
      </c>
    </row>
    <row r="120" spans="1:16" x14ac:dyDescent="0.2">
      <c r="A120" s="111" t="str">
        <f>Translation!$A$36</f>
        <v>somme du bilan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5">
    <pageSetUpPr fitToPage="1"/>
  </sheetPr>
  <dimension ref="A1:O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9" width="11" style="1"/>
    <col min="10" max="10" width="11" style="167"/>
    <col min="11" max="14" width="11" style="1"/>
    <col min="15" max="15" width="11" style="167"/>
    <col min="16" max="16384" width="11" style="1"/>
  </cols>
  <sheetData>
    <row r="1" spans="1:15" s="22" customFormat="1" ht="18" x14ac:dyDescent="0.25">
      <c r="A1" s="109" t="str">
        <f>Translation!$A$331</f>
        <v>Volatilité attendue</v>
      </c>
      <c r="B1" s="21"/>
      <c r="E1" s="147"/>
      <c r="F1" s="24"/>
      <c r="J1" s="158"/>
      <c r="O1" s="158"/>
    </row>
    <row r="2" spans="1:15" s="18" customFormat="1" x14ac:dyDescent="0.2">
      <c r="A2" s="122" t="str">
        <f>Translation!$A$27</f>
        <v>retour à la vue d'ensemble</v>
      </c>
      <c r="B2" s="25"/>
      <c r="E2" s="148"/>
      <c r="F2" s="27"/>
      <c r="J2" s="159"/>
      <c r="O2" s="159"/>
    </row>
    <row r="3" spans="1:15" s="18" customFormat="1" ht="15.75" x14ac:dyDescent="0.25">
      <c r="A3" s="111"/>
      <c r="B3" s="177">
        <v>2014</v>
      </c>
      <c r="C3" s="178"/>
      <c r="D3" s="178"/>
      <c r="E3" s="178"/>
      <c r="F3" s="179"/>
      <c r="J3" s="159"/>
      <c r="O3" s="159"/>
    </row>
    <row r="4" spans="1:15" s="18" customFormat="1" ht="38.25" x14ac:dyDescent="0.2">
      <c r="A4" s="112"/>
      <c r="B4" s="28" t="str">
        <f>Translation!$A$40</f>
        <v>Nombre d'IP</v>
      </c>
      <c r="C4" s="19" t="str">
        <f>Translation!$A$41</f>
        <v>Nombre d'assurés actifs</v>
      </c>
      <c r="D4" s="19" t="str">
        <f>Translation!$A$42</f>
        <v>Nombre de rentiers</v>
      </c>
      <c r="E4" s="149" t="str">
        <f>Translation!$A$43</f>
        <v>Somme du bilan</v>
      </c>
      <c r="F4" s="29" t="str">
        <f>Translation!$A$46</f>
        <v>Part de la somme du bilan</v>
      </c>
      <c r="J4" s="159"/>
      <c r="O4" s="159"/>
    </row>
    <row r="5" spans="1:15" s="60" customFormat="1" ht="13.5" thickBot="1" x14ac:dyDescent="0.25">
      <c r="A5" s="113"/>
      <c r="B5" s="59"/>
      <c r="E5" s="150"/>
      <c r="F5" s="62"/>
      <c r="J5" s="160"/>
      <c r="O5" s="160"/>
    </row>
    <row r="7" spans="1:15" ht="12.75" hidden="1" customHeight="1" x14ac:dyDescent="0.2"/>
    <row r="8" spans="1:15" ht="12.75" hidden="1" customHeight="1" x14ac:dyDescent="0.2"/>
    <row r="9" spans="1:15" ht="12.75" hidden="1" customHeight="1" x14ac:dyDescent="0.2"/>
    <row r="11" spans="1:15" x14ac:dyDescent="0.2">
      <c r="A11" s="114" t="str">
        <f>Translation!$A$28</f>
        <v>toutes les institutions de prévoyance</v>
      </c>
      <c r="E11" s="157"/>
    </row>
    <row r="12" spans="1:15" x14ac:dyDescent="0.2">
      <c r="A12" s="115" t="str">
        <f>Translation!$A332</f>
        <v>Non défini</v>
      </c>
      <c r="B12" s="30">
        <v>149</v>
      </c>
      <c r="C12" s="6">
        <v>1014705</v>
      </c>
      <c r="D12" s="6">
        <v>5133</v>
      </c>
      <c r="E12" s="151">
        <v>57114.597999999998</v>
      </c>
      <c r="F12" s="31">
        <f t="shared" ref="F12:F18" si="0">E12/E$36</f>
        <v>6.9474494907470305E-2</v>
      </c>
    </row>
    <row r="13" spans="1:15" x14ac:dyDescent="0.2">
      <c r="A13" s="115" t="str">
        <f>Translation!$A333</f>
        <v>Moins de 1 %</v>
      </c>
      <c r="B13" s="30">
        <v>30</v>
      </c>
      <c r="C13" s="6">
        <v>9447</v>
      </c>
      <c r="D13" s="6">
        <v>167</v>
      </c>
      <c r="E13" s="151">
        <v>1661.1880000000001</v>
      </c>
      <c r="F13" s="31">
        <f t="shared" si="0"/>
        <v>2.0206777476810883E-3</v>
      </c>
    </row>
    <row r="14" spans="1:15" x14ac:dyDescent="0.2">
      <c r="A14" s="115" t="str">
        <f>Translation!$A334</f>
        <v>De 1,0 à 2,9 %</v>
      </c>
      <c r="B14" s="30">
        <v>54</v>
      </c>
      <c r="C14" s="6">
        <v>86668</v>
      </c>
      <c r="D14" s="6">
        <v>14085</v>
      </c>
      <c r="E14" s="151">
        <v>8780.2659999999996</v>
      </c>
      <c r="F14" s="31">
        <f t="shared" si="0"/>
        <v>1.0680361358811187E-2</v>
      </c>
    </row>
    <row r="15" spans="1:15" x14ac:dyDescent="0.2">
      <c r="A15" s="115" t="str">
        <f>Translation!$A335</f>
        <v>De 3,0 à 4,9 %</v>
      </c>
      <c r="B15" s="30">
        <v>519</v>
      </c>
      <c r="C15" s="6">
        <v>504968</v>
      </c>
      <c r="D15" s="6">
        <v>147996</v>
      </c>
      <c r="E15" s="151">
        <v>129425.477</v>
      </c>
      <c r="F15" s="31">
        <f t="shared" si="0"/>
        <v>0.15743382528462191</v>
      </c>
    </row>
    <row r="16" spans="1:15" x14ac:dyDescent="0.2">
      <c r="A16" s="115" t="str">
        <f>Translation!$A336</f>
        <v>De 5,0 à 6,9 %</v>
      </c>
      <c r="B16" s="30">
        <v>982</v>
      </c>
      <c r="C16" s="6">
        <v>2175825</v>
      </c>
      <c r="D16" s="6">
        <v>625431</v>
      </c>
      <c r="E16" s="151">
        <v>558822.51500000001</v>
      </c>
      <c r="F16" s="31">
        <f t="shared" si="0"/>
        <v>0.67975462197155356</v>
      </c>
    </row>
    <row r="17" spans="1:6" ht="12.75" customHeight="1" x14ac:dyDescent="0.2">
      <c r="A17" s="111" t="str">
        <f>Translation!$A337</f>
        <v>De 7,0 à 8,9 %</v>
      </c>
      <c r="B17" s="30">
        <v>96</v>
      </c>
      <c r="C17" s="6">
        <v>197173</v>
      </c>
      <c r="D17" s="6">
        <v>71316</v>
      </c>
      <c r="E17" s="151">
        <v>57080.735000000001</v>
      </c>
      <c r="F17" s="31">
        <f t="shared" si="0"/>
        <v>6.9433303777646518E-2</v>
      </c>
    </row>
    <row r="18" spans="1:6" ht="12.75" customHeight="1" x14ac:dyDescent="0.2">
      <c r="A18" s="111" t="str">
        <f>Translation!$A338</f>
        <v>9 % et plus</v>
      </c>
      <c r="B18" s="30">
        <v>15</v>
      </c>
      <c r="C18" s="6">
        <v>15251</v>
      </c>
      <c r="D18" s="6">
        <v>4690</v>
      </c>
      <c r="E18" s="151">
        <v>9209.69</v>
      </c>
      <c r="F18" s="31">
        <f t="shared" si="0"/>
        <v>1.1202714952215548E-2</v>
      </c>
    </row>
    <row r="19" spans="1:6" ht="12.75" hidden="1" customHeight="1" x14ac:dyDescent="0.2">
      <c r="B19" s="30"/>
      <c r="C19" s="6"/>
      <c r="D19" s="6"/>
      <c r="E19" s="151"/>
      <c r="F19" s="31"/>
    </row>
    <row r="20" spans="1:6" ht="12.75" hidden="1" customHeight="1" x14ac:dyDescent="0.2">
      <c r="B20" s="30"/>
      <c r="C20" s="6"/>
      <c r="D20" s="6"/>
      <c r="E20" s="151"/>
      <c r="F20" s="31"/>
    </row>
    <row r="21" spans="1:6" ht="12.75" hidden="1" customHeight="1" x14ac:dyDescent="0.2">
      <c r="B21" s="30"/>
      <c r="C21" s="6"/>
      <c r="D21" s="6"/>
      <c r="E21" s="151"/>
      <c r="F21" s="31"/>
    </row>
    <row r="22" spans="1:6" ht="12.75" hidden="1" customHeight="1" x14ac:dyDescent="0.2">
      <c r="B22" s="30"/>
      <c r="C22" s="6"/>
      <c r="D22" s="6"/>
      <c r="E22" s="151"/>
      <c r="F22" s="31"/>
    </row>
    <row r="23" spans="1:6" ht="12.75" hidden="1" customHeight="1" x14ac:dyDescent="0.2">
      <c r="B23" s="30"/>
      <c r="C23" s="6"/>
      <c r="D23" s="6"/>
      <c r="E23" s="151"/>
      <c r="F23" s="31"/>
    </row>
    <row r="24" spans="1:6" ht="12.75" hidden="1" customHeight="1" x14ac:dyDescent="0.2">
      <c r="B24" s="30"/>
      <c r="C24" s="6"/>
      <c r="D24" s="6"/>
      <c r="E24" s="151"/>
      <c r="F24" s="31"/>
    </row>
    <row r="25" spans="1:6" ht="12.75" hidden="1" customHeight="1" x14ac:dyDescent="0.2">
      <c r="B25" s="30"/>
      <c r="C25" s="6"/>
      <c r="D25" s="6"/>
      <c r="E25" s="151"/>
      <c r="F25" s="31"/>
    </row>
    <row r="26" spans="1:6" ht="12.75" hidden="1" customHeight="1" x14ac:dyDescent="0.2">
      <c r="B26" s="30"/>
      <c r="C26" s="6"/>
      <c r="D26" s="6"/>
      <c r="E26" s="151"/>
      <c r="F26" s="31"/>
    </row>
    <row r="27" spans="1:6" ht="12.75" hidden="1" customHeight="1" x14ac:dyDescent="0.2">
      <c r="B27" s="30"/>
      <c r="C27" s="6"/>
      <c r="D27" s="6"/>
      <c r="E27" s="151"/>
      <c r="F27" s="31"/>
    </row>
    <row r="28" spans="1:6" ht="12.75" hidden="1" customHeight="1" x14ac:dyDescent="0.2">
      <c r="B28" s="30"/>
      <c r="C28" s="6"/>
      <c r="D28" s="6"/>
      <c r="E28" s="151"/>
      <c r="F28" s="31"/>
    </row>
    <row r="29" spans="1:6" ht="12.75" hidden="1" customHeight="1" x14ac:dyDescent="0.2">
      <c r="B29" s="30"/>
      <c r="C29" s="6"/>
      <c r="D29" s="6"/>
      <c r="E29" s="151"/>
      <c r="F29" s="31"/>
    </row>
    <row r="30" spans="1:6" ht="12.75" hidden="1" customHeight="1" x14ac:dyDescent="0.2">
      <c r="B30" s="30"/>
      <c r="C30" s="6"/>
      <c r="D30" s="6"/>
      <c r="E30" s="151"/>
      <c r="F30" s="31"/>
    </row>
    <row r="31" spans="1:6" ht="12.75" hidden="1" customHeight="1" x14ac:dyDescent="0.2">
      <c r="B31" s="30"/>
      <c r="C31" s="6"/>
      <c r="D31" s="6"/>
      <c r="E31" s="151"/>
      <c r="F31" s="31"/>
    </row>
    <row r="32" spans="1:6" ht="12.75" hidden="1" customHeight="1" x14ac:dyDescent="0.2">
      <c r="B32" s="30"/>
      <c r="C32" s="6"/>
      <c r="D32" s="6"/>
      <c r="E32" s="151"/>
      <c r="F32" s="31"/>
    </row>
    <row r="33" spans="1:6" ht="12.75" hidden="1" customHeight="1" x14ac:dyDescent="0.2">
      <c r="B33" s="30"/>
      <c r="C33" s="6"/>
      <c r="D33" s="6"/>
      <c r="E33" s="151"/>
      <c r="F33" s="31"/>
    </row>
    <row r="34" spans="1:6" ht="12.75" hidden="1" customHeight="1" x14ac:dyDescent="0.2">
      <c r="B34" s="30"/>
      <c r="C34" s="6"/>
      <c r="D34" s="6"/>
      <c r="E34" s="151"/>
      <c r="F34" s="31"/>
    </row>
    <row r="35" spans="1:6" ht="12.75" hidden="1" customHeight="1" x14ac:dyDescent="0.2">
      <c r="B35" s="30"/>
      <c r="C35" s="6"/>
      <c r="D35" s="6"/>
      <c r="E35" s="151"/>
      <c r="F35" s="31"/>
    </row>
    <row r="36" spans="1:6" x14ac:dyDescent="0.2">
      <c r="A36" s="116" t="s">
        <v>2</v>
      </c>
      <c r="B36" s="32">
        <f>SUM(B$12:B$35)</f>
        <v>1845</v>
      </c>
      <c r="C36" s="7">
        <f t="shared" ref="C36:E36" si="1">SUM(C$12:C$35)</f>
        <v>4004037</v>
      </c>
      <c r="D36" s="7">
        <f t="shared" si="1"/>
        <v>868818</v>
      </c>
      <c r="E36" s="152">
        <f t="shared" si="1"/>
        <v>822094.46899999992</v>
      </c>
      <c r="F36" s="64">
        <f>SUM(F$12:F$35)</f>
        <v>1.0000000000000002</v>
      </c>
    </row>
    <row r="39" spans="1:6" ht="12.75" hidden="1" customHeight="1" x14ac:dyDescent="0.2"/>
    <row r="40" spans="1:6" ht="12.75" hidden="1" customHeight="1" x14ac:dyDescent="0.2"/>
    <row r="41" spans="1:6" ht="12.75" hidden="1" customHeight="1" x14ac:dyDescent="0.2"/>
    <row r="42" spans="1:6" ht="12.75" hidden="1" customHeight="1" x14ac:dyDescent="0.2"/>
    <row r="43" spans="1:6" ht="12.75" hidden="1" customHeight="1" x14ac:dyDescent="0.2"/>
    <row r="44" spans="1:6" ht="12.75" hidden="1" customHeight="1" x14ac:dyDescent="0.2"/>
    <row r="45" spans="1:6" ht="12.75" hidden="1" customHeight="1" x14ac:dyDescent="0.2"/>
    <row r="46" spans="1:6" ht="12.75" hidden="1" customHeight="1" x14ac:dyDescent="0.2"/>
    <row r="47" spans="1:6" ht="12.75" hidden="1" customHeight="1" x14ac:dyDescent="0.2"/>
    <row r="48" spans="1:6" ht="12.75" hidden="1" customHeight="1" x14ac:dyDescent="0.2"/>
    <row r="49" spans="1:6" ht="12.75" hidden="1" customHeight="1" x14ac:dyDescent="0.2"/>
    <row r="51" spans="1:6" x14ac:dyDescent="0.2">
      <c r="A51" s="117" t="str">
        <f>Translation!$A$29</f>
        <v>institutions de prévoyance sans garantie étatique</v>
      </c>
      <c r="E51" s="157"/>
    </row>
    <row r="52" spans="1:6" x14ac:dyDescent="0.2">
      <c r="A52" s="115" t="str">
        <f>$A$12</f>
        <v>Non défini</v>
      </c>
      <c r="B52" s="33">
        <v>149</v>
      </c>
      <c r="C52" s="8">
        <v>1014705</v>
      </c>
      <c r="D52" s="8">
        <v>5133</v>
      </c>
      <c r="E52" s="153">
        <v>57114.597999999998</v>
      </c>
      <c r="F52" s="34">
        <f t="shared" ref="F52:F58" si="2">E52/E$76</f>
        <v>7.9713327336040835E-2</v>
      </c>
    </row>
    <row r="53" spans="1:6" x14ac:dyDescent="0.2">
      <c r="A53" s="115" t="str">
        <f>$A$13</f>
        <v>Moins de 1 %</v>
      </c>
      <c r="B53" s="33">
        <v>28</v>
      </c>
      <c r="C53" s="8">
        <v>9434</v>
      </c>
      <c r="D53" s="8">
        <v>129</v>
      </c>
      <c r="E53" s="153">
        <v>1600.3489999999999</v>
      </c>
      <c r="F53" s="34">
        <f t="shared" si="2"/>
        <v>2.2335645904205718E-3</v>
      </c>
    </row>
    <row r="54" spans="1:6" x14ac:dyDescent="0.2">
      <c r="A54" s="115" t="str">
        <f>$A$14</f>
        <v>De 1,0 à 2,9 %</v>
      </c>
      <c r="B54" s="33">
        <v>53</v>
      </c>
      <c r="C54" s="8">
        <v>86663</v>
      </c>
      <c r="D54" s="8">
        <v>14022</v>
      </c>
      <c r="E54" s="153">
        <v>8730.2659999999996</v>
      </c>
      <c r="F54" s="34">
        <f t="shared" si="2"/>
        <v>1.2184600360641737E-2</v>
      </c>
    </row>
    <row r="55" spans="1:6" x14ac:dyDescent="0.2">
      <c r="A55" s="115" t="str">
        <f>$A$15</f>
        <v>De 3,0 à 4,9 %</v>
      </c>
      <c r="B55" s="33">
        <v>507</v>
      </c>
      <c r="C55" s="8">
        <v>443780</v>
      </c>
      <c r="D55" s="8">
        <v>125885</v>
      </c>
      <c r="E55" s="153">
        <v>113635.917</v>
      </c>
      <c r="F55" s="34">
        <f t="shared" si="2"/>
        <v>0.15859863093061019</v>
      </c>
    </row>
    <row r="56" spans="1:6" x14ac:dyDescent="0.2">
      <c r="A56" s="115" t="str">
        <f>$A$16</f>
        <v>De 5,0 à 6,9 %</v>
      </c>
      <c r="B56" s="33">
        <v>955</v>
      </c>
      <c r="C56" s="8">
        <v>1943179</v>
      </c>
      <c r="D56" s="8">
        <v>516613</v>
      </c>
      <c r="E56" s="153">
        <v>480659.85600000003</v>
      </c>
      <c r="F56" s="34">
        <f t="shared" si="2"/>
        <v>0.67084419360917591</v>
      </c>
    </row>
    <row r="57" spans="1:6" ht="12.75" customHeight="1" x14ac:dyDescent="0.2">
      <c r="A57" s="115" t="str">
        <f>$A$17</f>
        <v>De 7,0 à 8,9 %</v>
      </c>
      <c r="B57" s="33">
        <v>95</v>
      </c>
      <c r="C57" s="8">
        <v>151645</v>
      </c>
      <c r="D57" s="8">
        <v>48434</v>
      </c>
      <c r="E57" s="153">
        <v>45549.311000000002</v>
      </c>
      <c r="F57" s="34">
        <f t="shared" si="2"/>
        <v>6.3571963470251958E-2</v>
      </c>
    </row>
    <row r="58" spans="1:6" ht="12.75" customHeight="1" x14ac:dyDescent="0.2">
      <c r="A58" s="115" t="str">
        <f>$A$18</f>
        <v>9 % et plus</v>
      </c>
      <c r="B58" s="33">
        <v>15</v>
      </c>
      <c r="C58" s="8">
        <v>15251</v>
      </c>
      <c r="D58" s="8">
        <v>4690</v>
      </c>
      <c r="E58" s="153">
        <v>9209.69</v>
      </c>
      <c r="F58" s="34">
        <f t="shared" si="2"/>
        <v>1.2853719702858838E-2</v>
      </c>
    </row>
    <row r="59" spans="1:6" ht="12.75" hidden="1" customHeight="1" x14ac:dyDescent="0.2">
      <c r="A59" s="115">
        <f>$A$19</f>
        <v>0</v>
      </c>
      <c r="B59" s="33"/>
      <c r="C59" s="8"/>
      <c r="D59" s="8"/>
      <c r="E59" s="153"/>
      <c r="F59" s="34"/>
    </row>
    <row r="60" spans="1:6" ht="12.75" hidden="1" customHeight="1" x14ac:dyDescent="0.2">
      <c r="A60" s="115">
        <f>$A$20</f>
        <v>0</v>
      </c>
      <c r="B60" s="33"/>
      <c r="C60" s="8"/>
      <c r="D60" s="8"/>
      <c r="E60" s="153"/>
      <c r="F60" s="34"/>
    </row>
    <row r="61" spans="1:6" ht="12.75" hidden="1" customHeight="1" x14ac:dyDescent="0.2">
      <c r="A61" s="115">
        <f>$A$21</f>
        <v>0</v>
      </c>
      <c r="B61" s="33"/>
      <c r="C61" s="8"/>
      <c r="D61" s="8"/>
      <c r="E61" s="153"/>
      <c r="F61" s="34"/>
    </row>
    <row r="62" spans="1:6" ht="12.75" hidden="1" customHeight="1" x14ac:dyDescent="0.2">
      <c r="A62" s="115">
        <f>$A$22</f>
        <v>0</v>
      </c>
      <c r="B62" s="33"/>
      <c r="C62" s="8"/>
      <c r="D62" s="8"/>
      <c r="E62" s="153"/>
      <c r="F62" s="34"/>
    </row>
    <row r="63" spans="1:6" ht="12.75" hidden="1" customHeight="1" x14ac:dyDescent="0.2">
      <c r="A63" s="115">
        <f>$A$23</f>
        <v>0</v>
      </c>
      <c r="B63" s="33"/>
      <c r="C63" s="8"/>
      <c r="D63" s="8"/>
      <c r="E63" s="153"/>
      <c r="F63" s="34"/>
    </row>
    <row r="64" spans="1:6" ht="12.75" hidden="1" customHeight="1" x14ac:dyDescent="0.2">
      <c r="A64" s="115">
        <f>$A$24</f>
        <v>0</v>
      </c>
      <c r="B64" s="33"/>
      <c r="C64" s="8"/>
      <c r="D64" s="8"/>
      <c r="E64" s="153"/>
      <c r="F64" s="34"/>
    </row>
    <row r="65" spans="1:6" ht="12.75" hidden="1" customHeight="1" x14ac:dyDescent="0.2">
      <c r="A65" s="115">
        <f>$A$25</f>
        <v>0</v>
      </c>
      <c r="B65" s="33"/>
      <c r="C65" s="8"/>
      <c r="D65" s="8"/>
      <c r="E65" s="153"/>
      <c r="F65" s="34"/>
    </row>
    <row r="66" spans="1:6" ht="12.75" hidden="1" customHeight="1" x14ac:dyDescent="0.2">
      <c r="A66" s="115">
        <f>$A$26</f>
        <v>0</v>
      </c>
      <c r="B66" s="33"/>
      <c r="C66" s="8"/>
      <c r="D66" s="8"/>
      <c r="E66" s="153"/>
      <c r="F66" s="34"/>
    </row>
    <row r="67" spans="1:6" ht="12.75" hidden="1" customHeight="1" x14ac:dyDescent="0.2">
      <c r="A67" s="115">
        <f>$A$27</f>
        <v>0</v>
      </c>
      <c r="B67" s="33"/>
      <c r="C67" s="8"/>
      <c r="D67" s="8"/>
      <c r="E67" s="153"/>
      <c r="F67" s="34"/>
    </row>
    <row r="68" spans="1:6" ht="12.75" hidden="1" customHeight="1" x14ac:dyDescent="0.2">
      <c r="A68" s="115">
        <f>$A$28</f>
        <v>0</v>
      </c>
      <c r="B68" s="33"/>
      <c r="C68" s="8"/>
      <c r="D68" s="8"/>
      <c r="E68" s="153"/>
      <c r="F68" s="34"/>
    </row>
    <row r="69" spans="1:6" ht="12.75" hidden="1" customHeight="1" x14ac:dyDescent="0.2">
      <c r="A69" s="115">
        <f>$A$29</f>
        <v>0</v>
      </c>
      <c r="B69" s="33"/>
      <c r="C69" s="8"/>
      <c r="D69" s="8"/>
      <c r="E69" s="153"/>
      <c r="F69" s="34"/>
    </row>
    <row r="70" spans="1:6" ht="12.75" hidden="1" customHeight="1" x14ac:dyDescent="0.2">
      <c r="A70" s="115">
        <f>$A$30</f>
        <v>0</v>
      </c>
      <c r="B70" s="33"/>
      <c r="C70" s="8"/>
      <c r="D70" s="8"/>
      <c r="E70" s="153"/>
      <c r="F70" s="34"/>
    </row>
    <row r="71" spans="1:6" ht="12.75" hidden="1" customHeight="1" x14ac:dyDescent="0.2">
      <c r="A71" s="115">
        <f>$A$31</f>
        <v>0</v>
      </c>
      <c r="B71" s="33"/>
      <c r="C71" s="8"/>
      <c r="D71" s="8"/>
      <c r="E71" s="153"/>
      <c r="F71" s="34"/>
    </row>
    <row r="72" spans="1:6" ht="12.75" hidden="1" customHeight="1" x14ac:dyDescent="0.2">
      <c r="A72" s="115">
        <f>$A$32</f>
        <v>0</v>
      </c>
      <c r="B72" s="33"/>
      <c r="C72" s="8"/>
      <c r="D72" s="8"/>
      <c r="E72" s="153"/>
      <c r="F72" s="34"/>
    </row>
    <row r="73" spans="1:6" ht="12.75" hidden="1" customHeight="1" x14ac:dyDescent="0.2">
      <c r="A73" s="115">
        <f>$A$33</f>
        <v>0</v>
      </c>
      <c r="B73" s="33"/>
      <c r="C73" s="8"/>
      <c r="D73" s="8"/>
      <c r="E73" s="153"/>
      <c r="F73" s="34"/>
    </row>
    <row r="74" spans="1:6" ht="12.75" hidden="1" customHeight="1" x14ac:dyDescent="0.2">
      <c r="A74" s="115">
        <f>$A$34</f>
        <v>0</v>
      </c>
      <c r="B74" s="33"/>
      <c r="C74" s="8"/>
      <c r="D74" s="8"/>
      <c r="E74" s="153"/>
      <c r="F74" s="34"/>
    </row>
    <row r="75" spans="1:6" ht="12.75" hidden="1" customHeight="1" x14ac:dyDescent="0.2">
      <c r="B75" s="33"/>
      <c r="C75" s="8"/>
      <c r="D75" s="8"/>
      <c r="E75" s="153"/>
      <c r="F75" s="34"/>
    </row>
    <row r="76" spans="1: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716499.98699999996</v>
      </c>
      <c r="F76" s="67">
        <f t="shared" ref="F76" si="3">SUM(F$52:F$75)</f>
        <v>1</v>
      </c>
    </row>
    <row r="79" spans="1:6" ht="12.75" hidden="1" customHeight="1" x14ac:dyDescent="0.2"/>
    <row r="80" spans="1:6" ht="12.75" hidden="1" customHeight="1" x14ac:dyDescent="0.2"/>
    <row r="81" spans="1:6" ht="12.75" hidden="1" customHeight="1" x14ac:dyDescent="0.2"/>
    <row r="82" spans="1:6" ht="12.75" hidden="1" customHeight="1" x14ac:dyDescent="0.2"/>
    <row r="83" spans="1:6" ht="12.75" hidden="1" customHeight="1" x14ac:dyDescent="0.2"/>
    <row r="84" spans="1:6" ht="12.75" hidden="1" customHeight="1" x14ac:dyDescent="0.2"/>
    <row r="85" spans="1:6" ht="12.75" hidden="1" customHeight="1" x14ac:dyDescent="0.2"/>
    <row r="86" spans="1:6" ht="12.75" hidden="1" customHeight="1" x14ac:dyDescent="0.2"/>
    <row r="87" spans="1:6" ht="12.75" hidden="1" customHeight="1" x14ac:dyDescent="0.2"/>
    <row r="88" spans="1:6" ht="12.75" hidden="1" customHeight="1" x14ac:dyDescent="0.2"/>
    <row r="89" spans="1:6" ht="12.75" hidden="1" customHeight="1" x14ac:dyDescent="0.2"/>
    <row r="91" spans="1:6" x14ac:dyDescent="0.2">
      <c r="A91" s="118" t="str">
        <f>Translation!$A$30</f>
        <v>institutions de prévoyance avec garantie étatique</v>
      </c>
      <c r="E91" s="157"/>
    </row>
    <row r="92" spans="1:6" x14ac:dyDescent="0.2">
      <c r="A92" s="115" t="str">
        <f>$A$12</f>
        <v>Non défini</v>
      </c>
      <c r="B92" s="36">
        <v>0</v>
      </c>
      <c r="C92" s="10">
        <v>0</v>
      </c>
      <c r="D92" s="10">
        <v>0</v>
      </c>
      <c r="E92" s="155">
        <v>0</v>
      </c>
      <c r="F92" s="37">
        <f t="shared" ref="F92:F98" si="4">E92/E$116</f>
        <v>0</v>
      </c>
    </row>
    <row r="93" spans="1:6" x14ac:dyDescent="0.2">
      <c r="A93" s="115" t="str">
        <f>$A$13</f>
        <v>Moins de 1 %</v>
      </c>
      <c r="B93" s="36">
        <v>2</v>
      </c>
      <c r="C93" s="10">
        <v>13</v>
      </c>
      <c r="D93" s="10">
        <v>38</v>
      </c>
      <c r="E93" s="155">
        <v>60.838999999999999</v>
      </c>
      <c r="F93" s="37">
        <f t="shared" si="4"/>
        <v>5.7615700032507373E-4</v>
      </c>
    </row>
    <row r="94" spans="1:6" x14ac:dyDescent="0.2">
      <c r="A94" s="115" t="str">
        <f>$A$14</f>
        <v>De 1,0 à 2,9 %</v>
      </c>
      <c r="B94" s="36">
        <v>1</v>
      </c>
      <c r="C94" s="10">
        <v>5</v>
      </c>
      <c r="D94" s="10">
        <v>63</v>
      </c>
      <c r="E94" s="155">
        <v>50</v>
      </c>
      <c r="F94" s="37">
        <f t="shared" si="4"/>
        <v>4.7350959115458323E-4</v>
      </c>
    </row>
    <row r="95" spans="1:6" x14ac:dyDescent="0.2">
      <c r="A95" s="115" t="str">
        <f>$A$15</f>
        <v>De 3,0 à 4,9 %</v>
      </c>
      <c r="B95" s="36">
        <v>12</v>
      </c>
      <c r="C95" s="10">
        <v>61188</v>
      </c>
      <c r="D95" s="10">
        <v>22111</v>
      </c>
      <c r="E95" s="155">
        <v>15789.56</v>
      </c>
      <c r="F95" s="37">
        <f t="shared" si="4"/>
        <v>0.14953016200221522</v>
      </c>
    </row>
    <row r="96" spans="1:6" x14ac:dyDescent="0.2">
      <c r="A96" s="115" t="str">
        <f>$A$16</f>
        <v>De 5,0 à 6,9 %</v>
      </c>
      <c r="B96" s="36">
        <v>27</v>
      </c>
      <c r="C96" s="10">
        <v>232646</v>
      </c>
      <c r="D96" s="10">
        <v>108818</v>
      </c>
      <c r="E96" s="155">
        <v>78162.659</v>
      </c>
      <c r="F96" s="37">
        <f t="shared" si="4"/>
        <v>0.74021537413290206</v>
      </c>
    </row>
    <row r="97" spans="1:6" ht="12.75" customHeight="1" x14ac:dyDescent="0.2">
      <c r="A97" s="115" t="str">
        <f>$A$17</f>
        <v>De 7,0 à 8,9 %</v>
      </c>
      <c r="B97" s="36">
        <v>1</v>
      </c>
      <c r="C97" s="10">
        <v>45528</v>
      </c>
      <c r="D97" s="10">
        <v>22882</v>
      </c>
      <c r="E97" s="155">
        <v>11531.424000000001</v>
      </c>
      <c r="F97" s="37">
        <f t="shared" si="4"/>
        <v>0.10920479727340299</v>
      </c>
    </row>
    <row r="98" spans="1:6" ht="12.75" customHeight="1" x14ac:dyDescent="0.2">
      <c r="A98" s="115" t="str">
        <f>$A$18</f>
        <v>9 % et plus</v>
      </c>
      <c r="B98" s="36">
        <v>0</v>
      </c>
      <c r="C98" s="10">
        <v>0</v>
      </c>
      <c r="D98" s="10">
        <v>0</v>
      </c>
      <c r="E98" s="155">
        <v>0</v>
      </c>
      <c r="F98" s="37">
        <f t="shared" si="4"/>
        <v>0</v>
      </c>
    </row>
    <row r="99" spans="1:6" ht="12.75" hidden="1" customHeight="1" x14ac:dyDescent="0.2">
      <c r="A99" s="115">
        <f>$A$19</f>
        <v>0</v>
      </c>
      <c r="B99" s="36"/>
      <c r="C99" s="10"/>
      <c r="D99" s="10"/>
      <c r="E99" s="155"/>
      <c r="F99" s="37"/>
    </row>
    <row r="100" spans="1: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</row>
    <row r="101" spans="1: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</row>
    <row r="102" spans="1: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</row>
    <row r="103" spans="1: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</row>
    <row r="104" spans="1: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</row>
    <row r="105" spans="1: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</row>
    <row r="106" spans="1: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</row>
    <row r="107" spans="1: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</row>
    <row r="108" spans="1: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</row>
    <row r="109" spans="1: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</row>
    <row r="110" spans="1: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</row>
    <row r="111" spans="1: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</row>
    <row r="112" spans="1: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</row>
    <row r="113" spans="1: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</row>
    <row r="114" spans="1: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</row>
    <row r="115" spans="1:6" ht="12.75" hidden="1" customHeight="1" x14ac:dyDescent="0.2">
      <c r="B115" s="36"/>
      <c r="C115" s="10"/>
      <c r="D115" s="10"/>
      <c r="E115" s="155"/>
      <c r="F115" s="37"/>
    </row>
    <row r="116" spans="1: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" si="5">SUM(F$92:F$115)</f>
        <v>1</v>
      </c>
    </row>
    <row r="120" spans="1:6" x14ac:dyDescent="0.2">
      <c r="A120" s="111" t="str">
        <f>Translation!$A$36</f>
        <v>somme du bilan en millions de francs</v>
      </c>
    </row>
  </sheetData>
  <mergeCells count="1"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6">
    <pageSetUpPr fitToPage="1"/>
  </sheetPr>
  <dimension ref="A1:P120"/>
  <sheetViews>
    <sheetView workbookViewId="0">
      <pane xSplit="1" ySplit="5" topLeftCell="B6" activePane="bottomRight" state="frozen"/>
      <selection activeCell="P12" sqref="P12:P18"/>
      <selection pane="topRight" activeCell="P12" sqref="P12:P18"/>
      <selection pane="bottomLeft" activeCell="P12" sqref="P12:P18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Translation!$A$339</f>
        <v>Objectif des réserves de fluctuation de valeur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10" t="str">
        <f>Translation!$A$27</f>
        <v>retour à la vue d'ensemble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/>
      <c r="B4" s="28" t="str">
        <f>Translation!$A$40</f>
        <v>Nombre d'IP</v>
      </c>
      <c r="C4" s="19" t="str">
        <f>Translation!$A$41</f>
        <v>Nombre d'assurés actifs</v>
      </c>
      <c r="D4" s="19" t="str">
        <f>Translation!$A$42</f>
        <v>Nombre de rentiers</v>
      </c>
      <c r="E4" s="149" t="str">
        <f>Translation!$A$43</f>
        <v>Somme du bilan</v>
      </c>
      <c r="F4" s="29" t="str">
        <f>Translation!$A$46</f>
        <v>Part de la somme du bilan</v>
      </c>
      <c r="G4" s="28" t="str">
        <f>Translation!$A$40</f>
        <v>Nombre d'IP</v>
      </c>
      <c r="H4" s="19" t="str">
        <f>Translation!$A$41</f>
        <v>Nombre d'assurés actifs</v>
      </c>
      <c r="I4" s="19" t="str">
        <f>Translation!$A$42</f>
        <v>Nombre de rentiers</v>
      </c>
      <c r="J4" s="149" t="str">
        <f>Translation!$A$43</f>
        <v>Somme du bilan</v>
      </c>
      <c r="K4" s="29" t="str">
        <f>Translation!$A$46</f>
        <v>Part de la somme du bilan</v>
      </c>
      <c r="L4" s="28" t="str">
        <f>Translation!$A$40</f>
        <v>Nombre d'IP</v>
      </c>
      <c r="M4" s="73" t="str">
        <f>Translation!$A$41</f>
        <v>Nombre d'assurés actifs</v>
      </c>
      <c r="N4" s="73" t="str">
        <f>Translation!$A$42</f>
        <v>Nombre de rentiers</v>
      </c>
      <c r="O4" s="149" t="str">
        <f>Translation!$A$43</f>
        <v>Somme du bilan</v>
      </c>
      <c r="P4" s="29" t="str">
        <f>Translation!$A$46</f>
        <v>Part de la somme du bilan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toutes les institutions de prévoyance</v>
      </c>
      <c r="E11" s="157"/>
      <c r="J11" s="157"/>
      <c r="O11" s="157"/>
    </row>
    <row r="12" spans="1:16" x14ac:dyDescent="0.2">
      <c r="A12" s="115" t="str">
        <f>Translation!$A340</f>
        <v>Non défini</v>
      </c>
      <c r="B12" s="30">
        <v>149</v>
      </c>
      <c r="C12" s="6">
        <v>1014705</v>
      </c>
      <c r="D12" s="6">
        <v>5133</v>
      </c>
      <c r="E12" s="151">
        <v>57114.597999999998</v>
      </c>
      <c r="F12" s="31">
        <f t="shared" ref="F12:F18" si="0">E12/E$36</f>
        <v>6.9474494907470291E-2</v>
      </c>
      <c r="G12" s="41">
        <v>165</v>
      </c>
      <c r="H12" s="42">
        <v>1041650</v>
      </c>
      <c r="I12" s="42">
        <v>90221</v>
      </c>
      <c r="J12" s="161">
        <v>23838.482</v>
      </c>
      <c r="K12" s="44">
        <f t="shared" ref="K12:K18" si="1">J12/J$36</f>
        <v>3.2646834822641697E-2</v>
      </c>
      <c r="L12" s="76"/>
      <c r="M12" s="123"/>
      <c r="N12" s="123"/>
      <c r="O12" s="168"/>
      <c r="P12" s="125">
        <v>0</v>
      </c>
    </row>
    <row r="13" spans="1:16" x14ac:dyDescent="0.2">
      <c r="A13" s="115" t="str">
        <f>Translation!$A363</f>
        <v>Moins de 5 %</v>
      </c>
      <c r="B13" s="30">
        <v>107</v>
      </c>
      <c r="C13" s="6">
        <v>126037</v>
      </c>
      <c r="D13" s="6">
        <v>14089</v>
      </c>
      <c r="E13" s="151">
        <v>15734.887999999999</v>
      </c>
      <c r="F13" s="31">
        <f t="shared" si="0"/>
        <v>1.9139999833766061E-2</v>
      </c>
      <c r="G13" s="41">
        <v>108</v>
      </c>
      <c r="H13" s="42">
        <v>198735</v>
      </c>
      <c r="I13" s="42">
        <v>20048</v>
      </c>
      <c r="J13" s="161">
        <v>16586.186000000002</v>
      </c>
      <c r="K13" s="44">
        <f t="shared" si="1"/>
        <v>2.2714805191018966E-2</v>
      </c>
      <c r="L13" s="76"/>
      <c r="M13" s="123"/>
      <c r="N13" s="123"/>
      <c r="O13" s="168"/>
      <c r="P13" s="125">
        <v>6.9681027467597384E-2</v>
      </c>
    </row>
    <row r="14" spans="1:16" x14ac:dyDescent="0.2">
      <c r="A14" s="115" t="str">
        <f>Translation!$A364</f>
        <v>De 5 à 9 %</v>
      </c>
      <c r="B14" s="30">
        <v>111</v>
      </c>
      <c r="C14" s="6">
        <v>358813</v>
      </c>
      <c r="D14" s="6">
        <v>49462</v>
      </c>
      <c r="E14" s="151">
        <v>55250.008000000002</v>
      </c>
      <c r="F14" s="31">
        <f t="shared" si="0"/>
        <v>6.7206397906078116E-2</v>
      </c>
      <c r="G14" s="41">
        <v>120</v>
      </c>
      <c r="H14" s="42">
        <v>311431</v>
      </c>
      <c r="I14" s="42">
        <v>37539</v>
      </c>
      <c r="J14" s="161">
        <v>41812.459000000003</v>
      </c>
      <c r="K14" s="44">
        <f t="shared" si="1"/>
        <v>5.726222175143024E-2</v>
      </c>
      <c r="L14" s="76"/>
      <c r="M14" s="123"/>
      <c r="N14" s="123"/>
      <c r="O14" s="168"/>
      <c r="P14" s="125">
        <v>5.0022395444197662E-2</v>
      </c>
    </row>
    <row r="15" spans="1:16" x14ac:dyDescent="0.2">
      <c r="A15" s="115" t="str">
        <f>Translation!$A365</f>
        <v>De 10 à 14 %</v>
      </c>
      <c r="B15" s="30">
        <v>483</v>
      </c>
      <c r="C15" s="6">
        <v>575808</v>
      </c>
      <c r="D15" s="6">
        <v>145780</v>
      </c>
      <c r="E15" s="151">
        <v>128881.692</v>
      </c>
      <c r="F15" s="31">
        <f t="shared" si="0"/>
        <v>0.15677236237432951</v>
      </c>
      <c r="G15" s="41">
        <v>511</v>
      </c>
      <c r="H15" s="42">
        <v>835398</v>
      </c>
      <c r="I15" s="42">
        <v>196433</v>
      </c>
      <c r="J15" s="161">
        <v>157037.538</v>
      </c>
      <c r="K15" s="44">
        <f t="shared" si="1"/>
        <v>0.21506313044766517</v>
      </c>
      <c r="L15" s="76"/>
      <c r="M15" s="123"/>
      <c r="N15" s="123"/>
      <c r="O15" s="168"/>
      <c r="P15" s="125">
        <v>0.26215053560740453</v>
      </c>
    </row>
    <row r="16" spans="1:16" x14ac:dyDescent="0.2">
      <c r="A16" s="115" t="str">
        <f>Translation!$A366</f>
        <v>De 15 à 19 %</v>
      </c>
      <c r="B16" s="30">
        <v>625</v>
      </c>
      <c r="C16" s="6">
        <v>1405592</v>
      </c>
      <c r="D16" s="6">
        <v>484972</v>
      </c>
      <c r="E16" s="151">
        <v>393763.53700000001</v>
      </c>
      <c r="F16" s="31">
        <f t="shared" si="0"/>
        <v>0.47897602021210045</v>
      </c>
      <c r="G16" s="41">
        <v>628</v>
      </c>
      <c r="H16" s="42">
        <v>1054703</v>
      </c>
      <c r="I16" s="42">
        <v>416344</v>
      </c>
      <c r="J16" s="161">
        <v>322835.90000000002</v>
      </c>
      <c r="K16" s="44">
        <f t="shared" si="1"/>
        <v>0.44212422175702598</v>
      </c>
      <c r="L16" s="76"/>
      <c r="M16" s="123"/>
      <c r="N16" s="123"/>
      <c r="O16" s="168"/>
      <c r="P16" s="125">
        <v>0.37889457455225373</v>
      </c>
    </row>
    <row r="17" spans="1:16" ht="12.75" customHeight="1" x14ac:dyDescent="0.2">
      <c r="A17" s="111" t="str">
        <f>Translation!$A367</f>
        <v>De 20 à 24 %</v>
      </c>
      <c r="B17" s="30">
        <v>264</v>
      </c>
      <c r="C17" s="6">
        <v>295924</v>
      </c>
      <c r="D17" s="6">
        <v>83128</v>
      </c>
      <c r="E17" s="151">
        <v>80256.807000000001</v>
      </c>
      <c r="F17" s="31">
        <f t="shared" si="0"/>
        <v>9.7624798640994132E-2</v>
      </c>
      <c r="G17" s="41">
        <v>256</v>
      </c>
      <c r="H17" s="42">
        <v>300565</v>
      </c>
      <c r="I17" s="42">
        <v>85719</v>
      </c>
      <c r="J17" s="161">
        <v>75314.657000000007</v>
      </c>
      <c r="K17" s="44">
        <f t="shared" si="1"/>
        <v>0.1031435293070639</v>
      </c>
      <c r="L17" s="76"/>
      <c r="M17" s="123"/>
      <c r="N17" s="123"/>
      <c r="O17" s="168"/>
      <c r="P17" s="125">
        <v>9.9543259374969384E-2</v>
      </c>
    </row>
    <row r="18" spans="1:16" ht="12.75" customHeight="1" x14ac:dyDescent="0.2">
      <c r="A18" s="111" t="str">
        <f>Translation!$A368</f>
        <v>25 % et plus</v>
      </c>
      <c r="B18" s="30">
        <v>106</v>
      </c>
      <c r="C18" s="6">
        <v>227158</v>
      </c>
      <c r="D18" s="6">
        <v>86254</v>
      </c>
      <c r="E18" s="151">
        <v>91092.938999999998</v>
      </c>
      <c r="F18" s="31">
        <f t="shared" si="0"/>
        <v>0.1108059261252614</v>
      </c>
      <c r="G18" s="41">
        <v>117</v>
      </c>
      <c r="H18" s="42">
        <v>190266</v>
      </c>
      <c r="I18" s="42">
        <v>97028</v>
      </c>
      <c r="J18" s="161">
        <v>92767.525000000009</v>
      </c>
      <c r="K18" s="44">
        <f t="shared" si="1"/>
        <v>0.12704525672315395</v>
      </c>
      <c r="L18" s="76"/>
      <c r="M18" s="123"/>
      <c r="N18" s="123"/>
      <c r="O18" s="168"/>
      <c r="P18" s="125">
        <v>0.13970820755357716</v>
      </c>
    </row>
    <row r="19" spans="1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1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1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1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1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1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1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1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1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1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1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1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1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1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2">SUM(C$12:C$35)</f>
        <v>4004037</v>
      </c>
      <c r="D36" s="7">
        <f t="shared" si="2"/>
        <v>868818</v>
      </c>
      <c r="E36" s="152">
        <f t="shared" si="2"/>
        <v>822094.46900000004</v>
      </c>
      <c r="F36" s="64">
        <f>SUM(F$12:F$35)</f>
        <v>1</v>
      </c>
      <c r="G36" s="45">
        <f t="shared" ref="G36:J36" si="3">SUM(G$12:G$35)</f>
        <v>1905</v>
      </c>
      <c r="H36" s="65">
        <f t="shared" si="3"/>
        <v>3932748</v>
      </c>
      <c r="I36" s="65">
        <f t="shared" si="3"/>
        <v>943332</v>
      </c>
      <c r="J36" s="162">
        <f t="shared" si="3"/>
        <v>730192.74700000009</v>
      </c>
      <c r="K36" s="66">
        <f t="shared" ref="K36" si="4">SUM(K$12:K$35)</f>
        <v>1</v>
      </c>
      <c r="L36" s="77"/>
      <c r="M36" s="126"/>
      <c r="N36" s="126"/>
      <c r="O36" s="169"/>
      <c r="P36" s="128">
        <f>SUM(P$12:P$35)</f>
        <v>0.99999999999999978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institutions de prévoyance sans garantie étatique</v>
      </c>
      <c r="E51" s="157"/>
      <c r="J51" s="157"/>
      <c r="O51" s="157"/>
    </row>
    <row r="52" spans="1:16" x14ac:dyDescent="0.2">
      <c r="A52" s="115" t="str">
        <f>$A$12</f>
        <v>Non défini</v>
      </c>
      <c r="B52" s="33">
        <v>149</v>
      </c>
      <c r="C52" s="8">
        <v>1014705</v>
      </c>
      <c r="D52" s="8">
        <v>5133</v>
      </c>
      <c r="E52" s="153">
        <v>57114.597999999998</v>
      </c>
      <c r="F52" s="34">
        <f t="shared" ref="F52:F58" si="5">E52/E$76</f>
        <v>7.9713327336040821E-2</v>
      </c>
      <c r="G52" s="47">
        <v>165</v>
      </c>
      <c r="H52" s="48">
        <v>1041650</v>
      </c>
      <c r="I52" s="48">
        <v>90221</v>
      </c>
      <c r="J52" s="163">
        <v>23838.482</v>
      </c>
      <c r="K52" s="50">
        <f t="shared" ref="K52:K58" si="6">J52/J$76</f>
        <v>3.8132226791054616E-2</v>
      </c>
      <c r="L52" s="129"/>
      <c r="M52" s="130"/>
      <c r="N52" s="130"/>
      <c r="O52" s="170"/>
      <c r="P52" s="132">
        <v>0</v>
      </c>
    </row>
    <row r="53" spans="1:16" x14ac:dyDescent="0.2">
      <c r="A53" s="115" t="str">
        <f>$A$13</f>
        <v>Moins de 5 %</v>
      </c>
      <c r="B53" s="33">
        <v>100</v>
      </c>
      <c r="C53" s="8">
        <v>124447</v>
      </c>
      <c r="D53" s="8">
        <v>13163</v>
      </c>
      <c r="E53" s="153">
        <v>15172.539000000001</v>
      </c>
      <c r="F53" s="34">
        <f t="shared" si="5"/>
        <v>2.1175909665438693E-2</v>
      </c>
      <c r="G53" s="47">
        <v>99</v>
      </c>
      <c r="H53" s="48">
        <v>196814</v>
      </c>
      <c r="I53" s="48">
        <v>19063</v>
      </c>
      <c r="J53" s="163">
        <v>15979.446</v>
      </c>
      <c r="K53" s="50">
        <f t="shared" si="6"/>
        <v>2.5560849842175794E-2</v>
      </c>
      <c r="L53" s="129"/>
      <c r="M53" s="130"/>
      <c r="N53" s="130"/>
      <c r="O53" s="170"/>
      <c r="P53" s="132">
        <v>7.4858222766833932E-2</v>
      </c>
    </row>
    <row r="54" spans="1:16" x14ac:dyDescent="0.2">
      <c r="A54" s="115" t="str">
        <f>$A$14</f>
        <v>De 5 à 9 %</v>
      </c>
      <c r="B54" s="33">
        <v>106</v>
      </c>
      <c r="C54" s="8">
        <v>291291</v>
      </c>
      <c r="D54" s="8">
        <v>20991</v>
      </c>
      <c r="E54" s="153">
        <v>37334.300999999999</v>
      </c>
      <c r="F54" s="34">
        <f t="shared" si="5"/>
        <v>5.2106492222448564E-2</v>
      </c>
      <c r="G54" s="47">
        <v>118</v>
      </c>
      <c r="H54" s="48">
        <v>292963</v>
      </c>
      <c r="I54" s="48">
        <v>32410</v>
      </c>
      <c r="J54" s="163">
        <v>38382.002</v>
      </c>
      <c r="K54" s="50">
        <f t="shared" si="6"/>
        <v>6.1396157899597459E-2</v>
      </c>
      <c r="L54" s="129"/>
      <c r="M54" s="130"/>
      <c r="N54" s="130"/>
      <c r="O54" s="170"/>
      <c r="P54" s="132">
        <v>5.0901632096586068E-2</v>
      </c>
    </row>
    <row r="55" spans="1:16" x14ac:dyDescent="0.2">
      <c r="A55" s="115" t="str">
        <f>$A$15</f>
        <v>De 10 à 14 %</v>
      </c>
      <c r="B55" s="33">
        <v>472</v>
      </c>
      <c r="C55" s="8">
        <v>541138</v>
      </c>
      <c r="D55" s="8">
        <v>128543</v>
      </c>
      <c r="E55" s="153">
        <v>118024.651</v>
      </c>
      <c r="F55" s="34">
        <f t="shared" si="5"/>
        <v>0.16472387039973524</v>
      </c>
      <c r="G55" s="47">
        <v>494</v>
      </c>
      <c r="H55" s="48">
        <v>746887</v>
      </c>
      <c r="I55" s="48">
        <v>152692</v>
      </c>
      <c r="J55" s="163">
        <v>131586.226</v>
      </c>
      <c r="K55" s="50">
        <f t="shared" si="6"/>
        <v>0.21048638132289493</v>
      </c>
      <c r="L55" s="129"/>
      <c r="M55" s="130"/>
      <c r="N55" s="130"/>
      <c r="O55" s="170"/>
      <c r="P55" s="132">
        <v>0.25490526777994255</v>
      </c>
    </row>
    <row r="56" spans="1:16" x14ac:dyDescent="0.2">
      <c r="A56" s="115" t="str">
        <f>$A$16</f>
        <v>De 15 à 19 %</v>
      </c>
      <c r="B56" s="33">
        <v>608</v>
      </c>
      <c r="C56" s="8">
        <v>1217674</v>
      </c>
      <c r="D56" s="8">
        <v>397195</v>
      </c>
      <c r="E56" s="153">
        <v>329810.495</v>
      </c>
      <c r="F56" s="34">
        <f t="shared" si="5"/>
        <v>0.4603077473607825</v>
      </c>
      <c r="G56" s="47">
        <v>604</v>
      </c>
      <c r="H56" s="48">
        <v>862335</v>
      </c>
      <c r="I56" s="48">
        <v>334662</v>
      </c>
      <c r="J56" s="163">
        <v>263385.99599999998</v>
      </c>
      <c r="K56" s="50">
        <f t="shared" si="6"/>
        <v>0.42131434933901424</v>
      </c>
      <c r="L56" s="129"/>
      <c r="M56" s="130"/>
      <c r="N56" s="130"/>
      <c r="O56" s="170"/>
      <c r="P56" s="132">
        <v>0.36731170570169325</v>
      </c>
    </row>
    <row r="57" spans="1:16" ht="12.75" customHeight="1" x14ac:dyDescent="0.2">
      <c r="A57" s="115" t="str">
        <f>$A$17</f>
        <v>De 20 à 24 %</v>
      </c>
      <c r="B57" s="33">
        <v>261</v>
      </c>
      <c r="C57" s="8">
        <v>248244</v>
      </c>
      <c r="D57" s="8">
        <v>63627</v>
      </c>
      <c r="E57" s="153">
        <v>67950.464000000007</v>
      </c>
      <c r="F57" s="34">
        <f t="shared" si="5"/>
        <v>9.483665768719686E-2</v>
      </c>
      <c r="G57" s="47">
        <v>250</v>
      </c>
      <c r="H57" s="48">
        <v>243717</v>
      </c>
      <c r="I57" s="48">
        <v>57551</v>
      </c>
      <c r="J57" s="163">
        <v>59213.481</v>
      </c>
      <c r="K57" s="50">
        <f t="shared" si="6"/>
        <v>9.4718358601013408E-2</v>
      </c>
      <c r="L57" s="129"/>
      <c r="M57" s="130"/>
      <c r="N57" s="130"/>
      <c r="O57" s="170"/>
      <c r="P57" s="132">
        <v>9.1482418045823993E-2</v>
      </c>
    </row>
    <row r="58" spans="1:16" ht="12.75" customHeight="1" x14ac:dyDescent="0.2">
      <c r="A58" s="115" t="str">
        <f>$A$18</f>
        <v>25 % et plus</v>
      </c>
      <c r="B58" s="33">
        <v>106</v>
      </c>
      <c r="C58" s="8">
        <v>227158</v>
      </c>
      <c r="D58" s="8">
        <v>86254</v>
      </c>
      <c r="E58" s="153">
        <v>91092.938999999998</v>
      </c>
      <c r="F58" s="34">
        <f t="shared" si="5"/>
        <v>0.1271359953283572</v>
      </c>
      <c r="G58" s="47">
        <v>117</v>
      </c>
      <c r="H58" s="48">
        <v>190266</v>
      </c>
      <c r="I58" s="48">
        <v>97028</v>
      </c>
      <c r="J58" s="163">
        <v>92767.525000000009</v>
      </c>
      <c r="K58" s="50">
        <f t="shared" si="6"/>
        <v>0.14839167620424945</v>
      </c>
      <c r="L58" s="129"/>
      <c r="M58" s="130"/>
      <c r="N58" s="130"/>
      <c r="O58" s="170"/>
      <c r="P58" s="132">
        <v>0.16054075360912021</v>
      </c>
    </row>
    <row r="59" spans="1:16" ht="12.75" hidden="1" customHeight="1" x14ac:dyDescent="0.2">
      <c r="A59" s="115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5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5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5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5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5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5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716499.98700000008</v>
      </c>
      <c r="F76" s="67">
        <f t="shared" ref="F76:J76" si="7">SUM(F$52:F$75)</f>
        <v>0.99999999999999989</v>
      </c>
      <c r="G76" s="51">
        <f t="shared" si="7"/>
        <v>1847</v>
      </c>
      <c r="H76" s="68">
        <f t="shared" si="7"/>
        <v>3574632</v>
      </c>
      <c r="I76" s="68">
        <f t="shared" si="7"/>
        <v>783627</v>
      </c>
      <c r="J76" s="164">
        <f t="shared" si="7"/>
        <v>625153.15800000005</v>
      </c>
      <c r="K76" s="69">
        <f t="shared" ref="K76" si="8">SUM(K$52:K$75)</f>
        <v>0.99999999999999989</v>
      </c>
      <c r="L76" s="133"/>
      <c r="M76" s="134"/>
      <c r="N76" s="134"/>
      <c r="O76" s="171"/>
      <c r="P76" s="136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institutions de prévoyance avec garantie étatique</v>
      </c>
      <c r="E91" s="157"/>
      <c r="J91" s="157"/>
      <c r="O91" s="157"/>
    </row>
    <row r="92" spans="1:16" x14ac:dyDescent="0.2">
      <c r="A92" s="115" t="str">
        <f>$A$12</f>
        <v>Non défini</v>
      </c>
      <c r="B92" s="36">
        <v>0</v>
      </c>
      <c r="C92" s="10">
        <v>0</v>
      </c>
      <c r="D92" s="10">
        <v>0</v>
      </c>
      <c r="E92" s="155">
        <v>0</v>
      </c>
      <c r="F92" s="37">
        <f t="shared" ref="F92:F98" si="9">E92/E$116</f>
        <v>0</v>
      </c>
      <c r="G92" s="53">
        <v>0</v>
      </c>
      <c r="H92" s="54">
        <v>0</v>
      </c>
      <c r="I92" s="54">
        <v>0</v>
      </c>
      <c r="J92" s="165">
        <v>0</v>
      </c>
      <c r="K92" s="56">
        <f t="shared" ref="K92:K98" si="10">J92/J$116</f>
        <v>0</v>
      </c>
      <c r="L92" s="137"/>
      <c r="M92" s="138"/>
      <c r="N92" s="138"/>
      <c r="O92" s="172"/>
      <c r="P92" s="140">
        <v>0</v>
      </c>
    </row>
    <row r="93" spans="1:16" x14ac:dyDescent="0.2">
      <c r="A93" s="115" t="str">
        <f>$A$13</f>
        <v>Moins de 5 %</v>
      </c>
      <c r="B93" s="36">
        <v>7</v>
      </c>
      <c r="C93" s="10">
        <v>1590</v>
      </c>
      <c r="D93" s="10">
        <v>926</v>
      </c>
      <c r="E93" s="155">
        <v>562.34900000000005</v>
      </c>
      <c r="F93" s="37">
        <f t="shared" si="9"/>
        <v>5.3255529015237757E-3</v>
      </c>
      <c r="G93" s="53">
        <v>9</v>
      </c>
      <c r="H93" s="54">
        <v>1921</v>
      </c>
      <c r="I93" s="54">
        <v>985</v>
      </c>
      <c r="J93" s="165">
        <v>606.74</v>
      </c>
      <c r="K93" s="56">
        <f t="shared" si="10"/>
        <v>5.7762983059653815E-3</v>
      </c>
      <c r="L93" s="137"/>
      <c r="M93" s="138"/>
      <c r="N93" s="138"/>
      <c r="O93" s="172"/>
      <c r="P93" s="140">
        <v>3.8537927707145057E-2</v>
      </c>
    </row>
    <row r="94" spans="1:16" x14ac:dyDescent="0.2">
      <c r="A94" s="115" t="str">
        <f>$A$14</f>
        <v>De 5 à 9 %</v>
      </c>
      <c r="B94" s="36">
        <v>5</v>
      </c>
      <c r="C94" s="10">
        <v>67522</v>
      </c>
      <c r="D94" s="10">
        <v>28471</v>
      </c>
      <c r="E94" s="155">
        <v>17915.706999999999</v>
      </c>
      <c r="F94" s="37">
        <f t="shared" si="9"/>
        <v>0.16966518193630611</v>
      </c>
      <c r="G94" s="53">
        <v>2</v>
      </c>
      <c r="H94" s="54">
        <v>18468</v>
      </c>
      <c r="I94" s="54">
        <v>5129</v>
      </c>
      <c r="J94" s="165">
        <v>3430.4569999999999</v>
      </c>
      <c r="K94" s="56">
        <f t="shared" si="10"/>
        <v>3.2658705471515122E-2</v>
      </c>
      <c r="L94" s="137"/>
      <c r="M94" s="138"/>
      <c r="N94" s="138"/>
      <c r="O94" s="172"/>
      <c r="P94" s="140">
        <v>4.4733401462762168E-2</v>
      </c>
    </row>
    <row r="95" spans="1:16" x14ac:dyDescent="0.2">
      <c r="A95" s="115" t="str">
        <f>$A$15</f>
        <v>De 10 à 14 %</v>
      </c>
      <c r="B95" s="36">
        <v>11</v>
      </c>
      <c r="C95" s="10">
        <v>34670</v>
      </c>
      <c r="D95" s="10">
        <v>17237</v>
      </c>
      <c r="E95" s="155">
        <v>10857.040999999999</v>
      </c>
      <c r="F95" s="37">
        <f t="shared" si="9"/>
        <v>0.10281826090117095</v>
      </c>
      <c r="G95" s="53">
        <v>17</v>
      </c>
      <c r="H95" s="54">
        <v>88511</v>
      </c>
      <c r="I95" s="54">
        <v>43741</v>
      </c>
      <c r="J95" s="165">
        <v>25451.312000000002</v>
      </c>
      <c r="K95" s="56">
        <f t="shared" si="10"/>
        <v>0.24230209050037316</v>
      </c>
      <c r="L95" s="137"/>
      <c r="M95" s="138"/>
      <c r="N95" s="138"/>
      <c r="O95" s="172"/>
      <c r="P95" s="140">
        <v>0.30573399840918869</v>
      </c>
    </row>
    <row r="96" spans="1:16" x14ac:dyDescent="0.2">
      <c r="A96" s="115" t="str">
        <f>$A$16</f>
        <v>De 15 à 19 %</v>
      </c>
      <c r="B96" s="36">
        <v>17</v>
      </c>
      <c r="C96" s="10">
        <v>187918</v>
      </c>
      <c r="D96" s="10">
        <v>87777</v>
      </c>
      <c r="E96" s="155">
        <v>63953.042000000001</v>
      </c>
      <c r="F96" s="37">
        <f t="shared" si="9"/>
        <v>0.60564757541023795</v>
      </c>
      <c r="G96" s="53">
        <v>24</v>
      </c>
      <c r="H96" s="54">
        <v>192368</v>
      </c>
      <c r="I96" s="54">
        <v>81682</v>
      </c>
      <c r="J96" s="165">
        <v>59449.904000000002</v>
      </c>
      <c r="K96" s="56">
        <f t="shared" si="10"/>
        <v>0.56597616732868217</v>
      </c>
      <c r="L96" s="137"/>
      <c r="M96" s="138"/>
      <c r="N96" s="138"/>
      <c r="O96" s="172"/>
      <c r="P96" s="140">
        <v>0.44857060940812221</v>
      </c>
    </row>
    <row r="97" spans="1:16" ht="12.75" customHeight="1" x14ac:dyDescent="0.2">
      <c r="A97" s="115" t="str">
        <f>$A$17</f>
        <v>De 20 à 24 %</v>
      </c>
      <c r="B97" s="36">
        <v>3</v>
      </c>
      <c r="C97" s="10">
        <v>47680</v>
      </c>
      <c r="D97" s="10">
        <v>19501</v>
      </c>
      <c r="E97" s="155">
        <v>12306.343000000001</v>
      </c>
      <c r="F97" s="37">
        <f t="shared" si="9"/>
        <v>0.11654342885076137</v>
      </c>
      <c r="G97" s="53">
        <v>6</v>
      </c>
      <c r="H97" s="54">
        <v>56848</v>
      </c>
      <c r="I97" s="54">
        <v>28168</v>
      </c>
      <c r="J97" s="165">
        <v>16101.175999999999</v>
      </c>
      <c r="K97" s="56">
        <f t="shared" si="10"/>
        <v>0.15328673839346418</v>
      </c>
      <c r="L97" s="137"/>
      <c r="M97" s="138"/>
      <c r="N97" s="138"/>
      <c r="O97" s="172"/>
      <c r="P97" s="140">
        <v>0.14803275439243066</v>
      </c>
    </row>
    <row r="98" spans="1:16" ht="12.75" customHeight="1" x14ac:dyDescent="0.2">
      <c r="A98" s="115" t="str">
        <f>$A$18</f>
        <v>25 % et plus</v>
      </c>
      <c r="B98" s="36">
        <v>0</v>
      </c>
      <c r="C98" s="10">
        <v>0</v>
      </c>
      <c r="D98" s="10">
        <v>0</v>
      </c>
      <c r="E98" s="155">
        <v>0</v>
      </c>
      <c r="F98" s="37">
        <f t="shared" si="9"/>
        <v>0</v>
      </c>
      <c r="G98" s="53">
        <v>0</v>
      </c>
      <c r="H98" s="54">
        <v>0</v>
      </c>
      <c r="I98" s="54">
        <v>0</v>
      </c>
      <c r="J98" s="165">
        <v>0</v>
      </c>
      <c r="K98" s="56">
        <f t="shared" si="10"/>
        <v>0</v>
      </c>
      <c r="L98" s="137"/>
      <c r="M98" s="138"/>
      <c r="N98" s="138"/>
      <c r="O98" s="172"/>
      <c r="P98" s="140">
        <v>1.439130862035113E-2</v>
      </c>
    </row>
    <row r="99" spans="1:16" ht="12.75" hidden="1" customHeight="1" x14ac:dyDescent="0.2">
      <c r="A99" s="115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105594.48199999999</v>
      </c>
      <c r="F116" s="70">
        <f t="shared" ref="F116:J116" si="11">SUM(F$92:F$115)</f>
        <v>1.0000000000000002</v>
      </c>
      <c r="G116" s="57">
        <f t="shared" si="11"/>
        <v>58</v>
      </c>
      <c r="H116" s="71">
        <f t="shared" si="11"/>
        <v>358116</v>
      </c>
      <c r="I116" s="71">
        <f t="shared" si="11"/>
        <v>159705</v>
      </c>
      <c r="J116" s="166">
        <f t="shared" si="11"/>
        <v>105039.58900000001</v>
      </c>
      <c r="K116" s="72">
        <f t="shared" ref="K116" si="12">SUM(K$92:K$115)</f>
        <v>1</v>
      </c>
      <c r="L116" s="141"/>
      <c r="M116" s="142"/>
      <c r="N116" s="142"/>
      <c r="O116" s="173"/>
      <c r="P116" s="144">
        <f>SUM(P$92:P$115)</f>
        <v>0.99999999999999989</v>
      </c>
    </row>
    <row r="120" spans="1:16" x14ac:dyDescent="0.2">
      <c r="A120" s="111" t="str">
        <f>Translation!$A$36</f>
        <v>somme du bilan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7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Translation!$A$381</f>
        <v>Forme juridique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retour à la vue d'ensemble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/>
      <c r="B4" s="28" t="str">
        <f>Translation!$A$40</f>
        <v>Nombre d'IP</v>
      </c>
      <c r="C4" s="19" t="str">
        <f>Translation!$A$41</f>
        <v>Nombre d'assurés actifs</v>
      </c>
      <c r="D4" s="19" t="str">
        <f>Translation!$A$42</f>
        <v>Nombre de rentiers</v>
      </c>
      <c r="E4" s="149" t="str">
        <f>Translation!$A$43</f>
        <v>Somme du bilan</v>
      </c>
      <c r="F4" s="29" t="str">
        <f>Translation!$A$46</f>
        <v>Part de la somme du bilan</v>
      </c>
      <c r="G4" s="28" t="str">
        <f>Translation!$A$40</f>
        <v>Nombre d'IP</v>
      </c>
      <c r="H4" s="19" t="str">
        <f>Translation!$A$41</f>
        <v>Nombre d'assurés actifs</v>
      </c>
      <c r="I4" s="19" t="str">
        <f>Translation!$A$42</f>
        <v>Nombre de rentiers</v>
      </c>
      <c r="J4" s="149" t="str">
        <f>Translation!$A$43</f>
        <v>Somme du bilan</v>
      </c>
      <c r="K4" s="29" t="str">
        <f>Translation!$A$46</f>
        <v>Part de la somme du bilan</v>
      </c>
      <c r="L4" s="28" t="str">
        <f>Translation!$A$40</f>
        <v>Nombre d'IP</v>
      </c>
      <c r="M4" s="73" t="str">
        <f>Translation!$A$41</f>
        <v>Nombre d'assurés actifs</v>
      </c>
      <c r="N4" s="73" t="str">
        <f>Translation!$A$42</f>
        <v>Nombre de rentiers</v>
      </c>
      <c r="O4" s="149" t="str">
        <f>Translation!$A$43</f>
        <v>Somme du bilan</v>
      </c>
      <c r="P4" s="29" t="str">
        <f>Translation!$A$46</f>
        <v>Part de la somme du bilan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toutes les institutions de prévoyance</v>
      </c>
    </row>
    <row r="12" spans="1:16" x14ac:dyDescent="0.2">
      <c r="A12" s="115" t="str">
        <f>Translation!$A382</f>
        <v>Fondation privée</v>
      </c>
      <c r="B12" s="30">
        <v>1745</v>
      </c>
      <c r="C12" s="6">
        <v>3322546</v>
      </c>
      <c r="D12" s="6">
        <v>586032</v>
      </c>
      <c r="E12" s="151">
        <v>595593.67099999997</v>
      </c>
      <c r="F12" s="31">
        <f>E12/E$36</f>
        <v>0.72448324792220442</v>
      </c>
      <c r="G12" s="41">
        <v>1793</v>
      </c>
      <c r="H12" s="42">
        <v>3185775</v>
      </c>
      <c r="I12" s="42">
        <v>633456</v>
      </c>
      <c r="J12" s="161">
        <v>494200.19</v>
      </c>
      <c r="K12" s="44">
        <f>J12/J$36</f>
        <v>0.67680785933635135</v>
      </c>
      <c r="L12" s="76">
        <v>1738</v>
      </c>
      <c r="M12" s="123">
        <v>2953790</v>
      </c>
      <c r="N12" s="123">
        <v>618440</v>
      </c>
      <c r="O12" s="168">
        <v>457885.41221400007</v>
      </c>
      <c r="P12" s="125">
        <f>O12/O$36</f>
        <v>0.68047156190916291</v>
      </c>
    </row>
    <row r="13" spans="1:16" x14ac:dyDescent="0.2">
      <c r="A13" s="115" t="str">
        <f>Translation!$A383</f>
        <v>Société coopérative de droit privé</v>
      </c>
      <c r="B13" s="30">
        <v>16</v>
      </c>
      <c r="C13" s="6">
        <v>113367</v>
      </c>
      <c r="D13" s="6">
        <v>20313</v>
      </c>
      <c r="E13" s="151">
        <v>23524.524000000001</v>
      </c>
      <c r="F13" s="31">
        <f>E13/E$36</f>
        <v>2.8615353693615477E-2</v>
      </c>
      <c r="G13" s="41">
        <v>17</v>
      </c>
      <c r="H13" s="42">
        <v>108488</v>
      </c>
      <c r="I13" s="42">
        <v>19081</v>
      </c>
      <c r="J13" s="161">
        <v>21203.896000000001</v>
      </c>
      <c r="K13" s="44">
        <f>J13/J$36</f>
        <v>2.9038765568565696E-2</v>
      </c>
      <c r="L13" s="76">
        <v>24</v>
      </c>
      <c r="M13" s="123">
        <v>109637</v>
      </c>
      <c r="N13" s="123">
        <v>19303</v>
      </c>
      <c r="O13" s="168">
        <v>20652.470711999998</v>
      </c>
      <c r="P13" s="125">
        <f>O13/O$36</f>
        <v>3.0691999849319924E-2</v>
      </c>
    </row>
    <row r="14" spans="1:16" x14ac:dyDescent="0.2">
      <c r="A14" s="115" t="str">
        <f>Translation!$A384</f>
        <v>Institution de droit public</v>
      </c>
      <c r="B14" s="30">
        <v>84</v>
      </c>
      <c r="C14" s="6">
        <v>568124</v>
      </c>
      <c r="D14" s="6">
        <v>262473</v>
      </c>
      <c r="E14" s="151">
        <v>202976.274</v>
      </c>
      <c r="F14" s="31">
        <f>E14/E$36</f>
        <v>0.24690139838418013</v>
      </c>
      <c r="G14" s="41">
        <v>95</v>
      </c>
      <c r="H14" s="42">
        <v>638485</v>
      </c>
      <c r="I14" s="42">
        <v>290795</v>
      </c>
      <c r="J14" s="161">
        <v>214788.66099999999</v>
      </c>
      <c r="K14" s="44">
        <f>J14/J$36</f>
        <v>0.29415337509508294</v>
      </c>
      <c r="L14" s="76">
        <v>100</v>
      </c>
      <c r="M14" s="123">
        <v>637071</v>
      </c>
      <c r="N14" s="123">
        <v>273202</v>
      </c>
      <c r="O14" s="168">
        <v>194356.38311699999</v>
      </c>
      <c r="P14" s="125">
        <f>O14/O$36</f>
        <v>0.28883643824151717</v>
      </c>
    </row>
    <row r="15" spans="1:16" hidden="1" x14ac:dyDescent="0.2">
      <c r="A15" s="115"/>
      <c r="B15" s="30"/>
      <c r="C15" s="6"/>
      <c r="D15" s="6"/>
      <c r="E15" s="151"/>
      <c r="F15" s="31"/>
      <c r="G15" s="41"/>
      <c r="H15" s="42"/>
      <c r="I15" s="42"/>
      <c r="J15" s="161"/>
      <c r="K15" s="44"/>
      <c r="L15" s="76"/>
      <c r="M15" s="123"/>
      <c r="N15" s="123"/>
      <c r="O15" s="168"/>
      <c r="P15" s="125"/>
    </row>
    <row r="16" spans="1:16" hidden="1" x14ac:dyDescent="0.2">
      <c r="A16" s="115"/>
      <c r="B16" s="30"/>
      <c r="C16" s="6"/>
      <c r="D16" s="6"/>
      <c r="E16" s="151"/>
      <c r="F16" s="31"/>
      <c r="G16" s="41"/>
      <c r="H16" s="42"/>
      <c r="I16" s="42"/>
      <c r="J16" s="161"/>
      <c r="K16" s="44"/>
      <c r="L16" s="76"/>
      <c r="M16" s="123"/>
      <c r="N16" s="123"/>
      <c r="O16" s="168"/>
      <c r="P16" s="125"/>
    </row>
    <row r="17" spans="2:16" ht="12.75" hidden="1" customHeight="1" x14ac:dyDescent="0.2">
      <c r="B17" s="30"/>
      <c r="C17" s="6"/>
      <c r="D17" s="6"/>
      <c r="E17" s="151"/>
      <c r="F17" s="31"/>
      <c r="G17" s="41"/>
      <c r="H17" s="42"/>
      <c r="I17" s="42"/>
      <c r="J17" s="161"/>
      <c r="K17" s="44"/>
      <c r="L17" s="76"/>
      <c r="M17" s="123"/>
      <c r="N17" s="123"/>
      <c r="O17" s="168"/>
      <c r="P17" s="125"/>
    </row>
    <row r="18" spans="2:16" ht="12.75" hidden="1" customHeight="1" x14ac:dyDescent="0.2">
      <c r="B18" s="30"/>
      <c r="C18" s="6"/>
      <c r="D18" s="6"/>
      <c r="E18" s="151"/>
      <c r="F18" s="31"/>
      <c r="G18" s="41"/>
      <c r="H18" s="42"/>
      <c r="I18" s="42"/>
      <c r="J18" s="161"/>
      <c r="K18" s="44"/>
      <c r="L18" s="76"/>
      <c r="M18" s="123"/>
      <c r="N18" s="123"/>
      <c r="O18" s="168"/>
      <c r="P18" s="125"/>
    </row>
    <row r="19" spans="2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2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2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2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2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2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2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2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2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2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2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2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2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2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0">SUM(C$12:C$35)</f>
        <v>4004037</v>
      </c>
      <c r="D36" s="7">
        <f t="shared" si="0"/>
        <v>868818</v>
      </c>
      <c r="E36" s="152">
        <f t="shared" si="0"/>
        <v>822094.46899999992</v>
      </c>
      <c r="F36" s="64">
        <f>SUM(F$12:F$35)</f>
        <v>1</v>
      </c>
      <c r="G36" s="45">
        <f t="shared" ref="G36:J36" si="1">SUM(G$12:G$35)</f>
        <v>1905</v>
      </c>
      <c r="H36" s="65">
        <f t="shared" si="1"/>
        <v>3932748</v>
      </c>
      <c r="I36" s="65">
        <f t="shared" si="1"/>
        <v>943332</v>
      </c>
      <c r="J36" s="162">
        <f t="shared" si="1"/>
        <v>730192.74699999997</v>
      </c>
      <c r="K36" s="66">
        <f t="shared" ref="K36:O36" si="2">SUM(K$12:K$35)</f>
        <v>1</v>
      </c>
      <c r="L36" s="77">
        <f t="shared" si="2"/>
        <v>1862</v>
      </c>
      <c r="M36" s="126">
        <f t="shared" si="2"/>
        <v>3700498</v>
      </c>
      <c r="N36" s="126">
        <f t="shared" si="2"/>
        <v>910945</v>
      </c>
      <c r="O36" s="169">
        <f t="shared" si="2"/>
        <v>672894.26604300004</v>
      </c>
      <c r="P36" s="128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institutions de prévoyance sans garantie étatique</v>
      </c>
    </row>
    <row r="52" spans="1:16" x14ac:dyDescent="0.2">
      <c r="A52" s="115" t="str">
        <f>$A$12</f>
        <v>Fondation privée</v>
      </c>
      <c r="B52" s="33">
        <v>1742</v>
      </c>
      <c r="C52" s="8">
        <v>3320786</v>
      </c>
      <c r="D52" s="8">
        <v>585166</v>
      </c>
      <c r="E52" s="153">
        <v>595116.60800000001</v>
      </c>
      <c r="F52" s="34">
        <f>E52/E$76</f>
        <v>0.83058844214605687</v>
      </c>
      <c r="G52" s="47">
        <v>1790</v>
      </c>
      <c r="H52" s="48">
        <v>3184238</v>
      </c>
      <c r="I52" s="48">
        <v>632778</v>
      </c>
      <c r="J52" s="163">
        <v>492089.52399999998</v>
      </c>
      <c r="K52" s="50">
        <f>J52/J$76</f>
        <v>0.78715034500393588</v>
      </c>
      <c r="L52" s="129"/>
      <c r="M52" s="130"/>
      <c r="N52" s="130"/>
      <c r="O52" s="170"/>
      <c r="P52" s="132"/>
    </row>
    <row r="53" spans="1:16" x14ac:dyDescent="0.2">
      <c r="A53" s="115" t="str">
        <f>$A$13</f>
        <v>Société coopérative de droit privé</v>
      </c>
      <c r="B53" s="33">
        <v>16</v>
      </c>
      <c r="C53" s="8">
        <v>113367</v>
      </c>
      <c r="D53" s="8">
        <v>20313</v>
      </c>
      <c r="E53" s="153">
        <v>23524.524000000001</v>
      </c>
      <c r="F53" s="34">
        <f>E53/E$76</f>
        <v>3.2832553282377101E-2</v>
      </c>
      <c r="G53" s="47">
        <v>17</v>
      </c>
      <c r="H53" s="48">
        <v>108488</v>
      </c>
      <c r="I53" s="48">
        <v>19081</v>
      </c>
      <c r="J53" s="163">
        <v>21203.896000000001</v>
      </c>
      <c r="K53" s="50">
        <f>J53/J$76</f>
        <v>3.3917921918263753E-2</v>
      </c>
      <c r="L53" s="129"/>
      <c r="M53" s="130"/>
      <c r="N53" s="130"/>
      <c r="O53" s="170"/>
      <c r="P53" s="132"/>
    </row>
    <row r="54" spans="1:16" x14ac:dyDescent="0.2">
      <c r="A54" s="115" t="str">
        <f>$A$14</f>
        <v>Institution de droit public</v>
      </c>
      <c r="B54" s="33">
        <v>44</v>
      </c>
      <c r="C54" s="8">
        <v>230504</v>
      </c>
      <c r="D54" s="8">
        <v>109427</v>
      </c>
      <c r="E54" s="153">
        <v>97858.854999999996</v>
      </c>
      <c r="F54" s="34">
        <f>E54/E$76</f>
        <v>0.13657900457156602</v>
      </c>
      <c r="G54" s="47">
        <v>40</v>
      </c>
      <c r="H54" s="48">
        <v>281906</v>
      </c>
      <c r="I54" s="48">
        <v>131768</v>
      </c>
      <c r="J54" s="163">
        <v>111859.738</v>
      </c>
      <c r="K54" s="50">
        <f>J54/J$76</f>
        <v>0.17893173307780044</v>
      </c>
      <c r="L54" s="129"/>
      <c r="M54" s="130"/>
      <c r="N54" s="130"/>
      <c r="O54" s="170"/>
      <c r="P54" s="132"/>
    </row>
    <row r="55" spans="1:16" hidden="1" x14ac:dyDescent="0.2">
      <c r="A55" s="115">
        <f>$A$15</f>
        <v>0</v>
      </c>
      <c r="B55" s="33"/>
      <c r="C55" s="8"/>
      <c r="D55" s="8"/>
      <c r="E55" s="153"/>
      <c r="F55" s="34"/>
      <c r="G55" s="47"/>
      <c r="H55" s="48"/>
      <c r="I55" s="48"/>
      <c r="J55" s="163"/>
      <c r="K55" s="50"/>
      <c r="L55" s="129"/>
      <c r="M55" s="130"/>
      <c r="N55" s="130"/>
      <c r="O55" s="170"/>
      <c r="P55" s="132"/>
    </row>
    <row r="56" spans="1:16" hidden="1" x14ac:dyDescent="0.2">
      <c r="A56" s="115">
        <f>$A$16</f>
        <v>0</v>
      </c>
      <c r="B56" s="33"/>
      <c r="C56" s="8"/>
      <c r="D56" s="8"/>
      <c r="E56" s="153"/>
      <c r="F56" s="34"/>
      <c r="G56" s="47"/>
      <c r="H56" s="48"/>
      <c r="I56" s="48"/>
      <c r="J56" s="163"/>
      <c r="K56" s="50"/>
      <c r="L56" s="129"/>
      <c r="M56" s="130"/>
      <c r="N56" s="130"/>
      <c r="O56" s="170"/>
      <c r="P56" s="132"/>
    </row>
    <row r="57" spans="1:16" ht="12.75" hidden="1" customHeight="1" x14ac:dyDescent="0.2">
      <c r="A57" s="115">
        <f>$A$17</f>
        <v>0</v>
      </c>
      <c r="B57" s="33"/>
      <c r="C57" s="8"/>
      <c r="D57" s="8"/>
      <c r="E57" s="153"/>
      <c r="F57" s="34"/>
      <c r="G57" s="47"/>
      <c r="H57" s="48"/>
      <c r="I57" s="48"/>
      <c r="J57" s="163"/>
      <c r="K57" s="50"/>
      <c r="L57" s="129"/>
      <c r="M57" s="130"/>
      <c r="N57" s="130"/>
      <c r="O57" s="170"/>
      <c r="P57" s="132"/>
    </row>
    <row r="58" spans="1:16" ht="12.75" hidden="1" customHeight="1" x14ac:dyDescent="0.2">
      <c r="A58" s="115">
        <f>$A$18</f>
        <v>0</v>
      </c>
      <c r="B58" s="33"/>
      <c r="C58" s="8"/>
      <c r="D58" s="8"/>
      <c r="E58" s="153"/>
      <c r="F58" s="34"/>
      <c r="G58" s="47"/>
      <c r="H58" s="48"/>
      <c r="I58" s="48"/>
      <c r="J58" s="163"/>
      <c r="K58" s="50"/>
      <c r="L58" s="129"/>
      <c r="M58" s="130"/>
      <c r="N58" s="130"/>
      <c r="O58" s="170"/>
      <c r="P58" s="132"/>
    </row>
    <row r="59" spans="1:16" ht="12.75" hidden="1" customHeight="1" x14ac:dyDescent="0.2">
      <c r="A59" s="115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5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5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5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5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5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5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716499.98699999996</v>
      </c>
      <c r="F76" s="67">
        <f t="shared" ref="F76:J76" si="3">SUM(F$52:F$75)</f>
        <v>1</v>
      </c>
      <c r="G76" s="51">
        <f t="shared" si="3"/>
        <v>1847</v>
      </c>
      <c r="H76" s="68">
        <f t="shared" si="3"/>
        <v>3574632</v>
      </c>
      <c r="I76" s="68">
        <f t="shared" si="3"/>
        <v>783627</v>
      </c>
      <c r="J76" s="164">
        <f t="shared" si="3"/>
        <v>625153.15799999994</v>
      </c>
      <c r="K76" s="69">
        <f t="shared" ref="K76" si="4">SUM(K$52:K$75)</f>
        <v>1</v>
      </c>
      <c r="L76" s="133"/>
      <c r="M76" s="134"/>
      <c r="N76" s="134"/>
      <c r="O76" s="171"/>
      <c r="P76" s="136"/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institutions de prévoyance avec garantie étatique</v>
      </c>
    </row>
    <row r="92" spans="1:16" x14ac:dyDescent="0.2">
      <c r="A92" s="115" t="str">
        <f>$A$12</f>
        <v>Fondation privée</v>
      </c>
      <c r="B92" s="36">
        <v>3</v>
      </c>
      <c r="C92" s="10">
        <v>1760</v>
      </c>
      <c r="D92" s="10">
        <v>866</v>
      </c>
      <c r="E92" s="155">
        <v>477.06299999999999</v>
      </c>
      <c r="F92" s="37">
        <f>E92/E$116</f>
        <v>4.5178781216995796E-3</v>
      </c>
      <c r="G92" s="53">
        <v>3</v>
      </c>
      <c r="H92" s="54">
        <v>1537</v>
      </c>
      <c r="I92" s="54">
        <v>678</v>
      </c>
      <c r="J92" s="165">
        <v>2110.6660000000002</v>
      </c>
      <c r="K92" s="56">
        <f>J92/J$116</f>
        <v>2.00940047471054E-2</v>
      </c>
      <c r="L92" s="137"/>
      <c r="M92" s="138"/>
      <c r="N92" s="138"/>
      <c r="O92" s="172"/>
      <c r="P92" s="140"/>
    </row>
    <row r="93" spans="1:16" x14ac:dyDescent="0.2">
      <c r="A93" s="115" t="str">
        <f>$A$13</f>
        <v>Société coopérative de droit privé</v>
      </c>
      <c r="B93" s="36">
        <v>0</v>
      </c>
      <c r="C93" s="10">
        <v>0</v>
      </c>
      <c r="D93" s="10">
        <v>0</v>
      </c>
      <c r="E93" s="155">
        <v>0</v>
      </c>
      <c r="F93" s="37">
        <f>E93/E$116</f>
        <v>0</v>
      </c>
      <c r="G93" s="53">
        <v>0</v>
      </c>
      <c r="H93" s="54">
        <v>0</v>
      </c>
      <c r="I93" s="54">
        <v>0</v>
      </c>
      <c r="J93" s="165">
        <v>0</v>
      </c>
      <c r="K93" s="56">
        <f>J93/J$116</f>
        <v>0</v>
      </c>
      <c r="L93" s="137"/>
      <c r="M93" s="138"/>
      <c r="N93" s="138"/>
      <c r="O93" s="172"/>
      <c r="P93" s="140"/>
    </row>
    <row r="94" spans="1:16" x14ac:dyDescent="0.2">
      <c r="A94" s="115" t="str">
        <f>$A$14</f>
        <v>Institution de droit public</v>
      </c>
      <c r="B94" s="36">
        <v>40</v>
      </c>
      <c r="C94" s="10">
        <v>337620</v>
      </c>
      <c r="D94" s="10">
        <v>153046</v>
      </c>
      <c r="E94" s="155">
        <v>105117.41899999999</v>
      </c>
      <c r="F94" s="37">
        <f>E94/E$116</f>
        <v>0.99548212187830043</v>
      </c>
      <c r="G94" s="53">
        <v>55</v>
      </c>
      <c r="H94" s="54">
        <v>356579</v>
      </c>
      <c r="I94" s="54">
        <v>159027</v>
      </c>
      <c r="J94" s="165">
        <v>102928.923</v>
      </c>
      <c r="K94" s="56">
        <f>J94/J$116</f>
        <v>0.97990599525289468</v>
      </c>
      <c r="L94" s="137"/>
      <c r="M94" s="138"/>
      <c r="N94" s="138"/>
      <c r="O94" s="172"/>
      <c r="P94" s="140"/>
    </row>
    <row r="95" spans="1:16" hidden="1" x14ac:dyDescent="0.2">
      <c r="A95" s="115">
        <f>$A$15</f>
        <v>0</v>
      </c>
      <c r="B95" s="36"/>
      <c r="C95" s="10"/>
      <c r="D95" s="10"/>
      <c r="E95" s="155"/>
      <c r="F95" s="37"/>
      <c r="G95" s="53"/>
      <c r="H95" s="54"/>
      <c r="I95" s="54"/>
      <c r="J95" s="165"/>
      <c r="K95" s="56"/>
      <c r="L95" s="137"/>
      <c r="M95" s="138"/>
      <c r="N95" s="138"/>
      <c r="O95" s="172"/>
      <c r="P95" s="140"/>
    </row>
    <row r="96" spans="1:16" hidden="1" x14ac:dyDescent="0.2">
      <c r="A96" s="115">
        <f>$A$16</f>
        <v>0</v>
      </c>
      <c r="B96" s="36"/>
      <c r="C96" s="10"/>
      <c r="D96" s="10"/>
      <c r="E96" s="155"/>
      <c r="F96" s="37"/>
      <c r="G96" s="53"/>
      <c r="H96" s="54"/>
      <c r="I96" s="54"/>
      <c r="J96" s="165"/>
      <c r="K96" s="56"/>
      <c r="L96" s="137"/>
      <c r="M96" s="138"/>
      <c r="N96" s="138"/>
      <c r="O96" s="172"/>
      <c r="P96" s="140"/>
    </row>
    <row r="97" spans="1:16" ht="12.75" hidden="1" customHeight="1" x14ac:dyDescent="0.2">
      <c r="A97" s="115">
        <f>$A$17</f>
        <v>0</v>
      </c>
      <c r="B97" s="36"/>
      <c r="C97" s="10"/>
      <c r="D97" s="10"/>
      <c r="E97" s="155"/>
      <c r="F97" s="37"/>
      <c r="G97" s="53"/>
      <c r="H97" s="54"/>
      <c r="I97" s="54"/>
      <c r="J97" s="165"/>
      <c r="K97" s="56"/>
      <c r="L97" s="137"/>
      <c r="M97" s="138"/>
      <c r="N97" s="138"/>
      <c r="O97" s="172"/>
      <c r="P97" s="140"/>
    </row>
    <row r="98" spans="1:16" ht="12.75" hidden="1" customHeight="1" x14ac:dyDescent="0.2">
      <c r="A98" s="115">
        <f>$A$18</f>
        <v>0</v>
      </c>
      <c r="B98" s="36"/>
      <c r="C98" s="10"/>
      <c r="D98" s="10"/>
      <c r="E98" s="155"/>
      <c r="F98" s="37"/>
      <c r="G98" s="53"/>
      <c r="H98" s="54"/>
      <c r="I98" s="54"/>
      <c r="J98" s="165"/>
      <c r="K98" s="56"/>
      <c r="L98" s="137"/>
      <c r="M98" s="138"/>
      <c r="N98" s="138"/>
      <c r="O98" s="172"/>
      <c r="P98" s="140"/>
    </row>
    <row r="99" spans="1:16" ht="12.75" hidden="1" customHeight="1" x14ac:dyDescent="0.2">
      <c r="A99" s="115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105594.48199999999</v>
      </c>
      <c r="F116" s="70">
        <f t="shared" ref="F116:J116" si="5">SUM(F$92:F$115)</f>
        <v>1</v>
      </c>
      <c r="G116" s="57">
        <f t="shared" si="5"/>
        <v>58</v>
      </c>
      <c r="H116" s="71">
        <f t="shared" si="5"/>
        <v>358116</v>
      </c>
      <c r="I116" s="71">
        <f t="shared" si="5"/>
        <v>159705</v>
      </c>
      <c r="J116" s="166">
        <f t="shared" si="5"/>
        <v>105039.58899999999</v>
      </c>
      <c r="K116" s="72">
        <f t="shared" ref="K116" si="6">SUM(K$92:K$115)</f>
        <v>1</v>
      </c>
      <c r="L116" s="141"/>
      <c r="M116" s="142"/>
      <c r="N116" s="142"/>
      <c r="O116" s="173"/>
      <c r="P116" s="144"/>
    </row>
    <row r="120" spans="1:16" x14ac:dyDescent="0.2">
      <c r="A120" s="111" t="str">
        <f>Translation!$A$36</f>
        <v>somme du bilan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8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Translation!$A$385</f>
        <v>Employeur et forme de garantie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retour à la vue d'ensemble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/>
      <c r="B4" s="28" t="str">
        <f>Translation!$A$40</f>
        <v>Nombre d'IP</v>
      </c>
      <c r="C4" s="19" t="str">
        <f>Translation!$A$41</f>
        <v>Nombre d'assurés actifs</v>
      </c>
      <c r="D4" s="19" t="str">
        <f>Translation!$A$42</f>
        <v>Nombre de rentiers</v>
      </c>
      <c r="E4" s="149" t="str">
        <f>Translation!$A$43</f>
        <v>Somme du bilan</v>
      </c>
      <c r="F4" s="29" t="str">
        <f>Translation!$A$46</f>
        <v>Part de la somme du bilan</v>
      </c>
      <c r="G4" s="28" t="str">
        <f>Translation!$A$40</f>
        <v>Nombre d'IP</v>
      </c>
      <c r="H4" s="19" t="str">
        <f>Translation!$A$41</f>
        <v>Nombre d'assurés actifs</v>
      </c>
      <c r="I4" s="19" t="str">
        <f>Translation!$A$42</f>
        <v>Nombre de rentiers</v>
      </c>
      <c r="J4" s="149" t="str">
        <f>Translation!$A$43</f>
        <v>Somme du bilan</v>
      </c>
      <c r="K4" s="29" t="str">
        <f>Translation!$A$46</f>
        <v>Part de la somme du bilan</v>
      </c>
      <c r="L4" s="28" t="str">
        <f>Translation!$A$40</f>
        <v>Nombre d'IP</v>
      </c>
      <c r="M4" s="73" t="str">
        <f>Translation!$A$41</f>
        <v>Nombre d'assurés actifs</v>
      </c>
      <c r="N4" s="73" t="str">
        <f>Translation!$A$42</f>
        <v>Nombre de rentiers</v>
      </c>
      <c r="O4" s="149" t="str">
        <f>Translation!$A$43</f>
        <v>Somme du bilan</v>
      </c>
      <c r="P4" s="29" t="str">
        <f>Translation!$A$46</f>
        <v>Part de la somme du bilan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toutes les institutions de prévoyance</v>
      </c>
    </row>
    <row r="12" spans="1:16" x14ac:dyDescent="0.2">
      <c r="A12" s="115" t="str">
        <f>Translation!$A386</f>
        <v>Employeur de droit privé</v>
      </c>
      <c r="B12" s="30">
        <v>1739</v>
      </c>
      <c r="C12" s="6">
        <v>3322093</v>
      </c>
      <c r="D12" s="6">
        <v>565595</v>
      </c>
      <c r="E12" s="151">
        <v>583227.62199999997</v>
      </c>
      <c r="F12" s="31">
        <f>E12/E$36</f>
        <v>0.7094411214193439</v>
      </c>
      <c r="G12" s="41">
        <v>1792</v>
      </c>
      <c r="H12" s="42">
        <v>3263614</v>
      </c>
      <c r="I12" s="42">
        <v>643387</v>
      </c>
      <c r="J12" s="161">
        <v>508188.12199999997</v>
      </c>
      <c r="K12" s="44">
        <f>J12/J$36</f>
        <v>0.69596435199869222</v>
      </c>
      <c r="L12" s="76">
        <v>1762</v>
      </c>
      <c r="M12" s="123">
        <v>3063743</v>
      </c>
      <c r="N12" s="123">
        <v>638120</v>
      </c>
      <c r="O12" s="168">
        <v>478571.76552700001</v>
      </c>
      <c r="P12" s="125">
        <f>O12/O$36</f>
        <v>0.71121391528757327</v>
      </c>
    </row>
    <row r="13" spans="1:16" ht="12.75" customHeight="1" x14ac:dyDescent="0.2">
      <c r="A13" s="111" t="str">
        <f>Translation!$A387</f>
        <v>Employeur de droit public</v>
      </c>
      <c r="B13" s="30"/>
      <c r="C13" s="6"/>
      <c r="D13" s="6"/>
      <c r="E13" s="151"/>
      <c r="F13" s="31"/>
      <c r="G13" s="41"/>
      <c r="H13" s="42"/>
      <c r="I13" s="42"/>
      <c r="J13" s="161"/>
      <c r="K13" s="44"/>
      <c r="L13" s="76"/>
      <c r="M13" s="123"/>
      <c r="N13" s="123"/>
      <c r="O13" s="168"/>
      <c r="P13" s="125"/>
    </row>
    <row r="14" spans="1:16" x14ac:dyDescent="0.2">
      <c r="A14" s="115" t="str">
        <f>Translation!$A388</f>
        <v xml:space="preserve">   Capitalisation complète sans garantie étatique</v>
      </c>
      <c r="B14" s="30">
        <v>63</v>
      </c>
      <c r="C14" s="6">
        <v>342564</v>
      </c>
      <c r="D14" s="6">
        <v>149311</v>
      </c>
      <c r="E14" s="151">
        <v>133272.36499999999</v>
      </c>
      <c r="F14" s="31">
        <f>E14/E$36</f>
        <v>0.16211319991255166</v>
      </c>
      <c r="G14" s="41">
        <v>55</v>
      </c>
      <c r="H14" s="42">
        <v>311018</v>
      </c>
      <c r="I14" s="42">
        <v>140240</v>
      </c>
      <c r="J14" s="161">
        <v>116965.03599999999</v>
      </c>
      <c r="K14" s="44">
        <f>J14/J$36</f>
        <v>0.16018378226920404</v>
      </c>
      <c r="L14" s="76">
        <v>34</v>
      </c>
      <c r="M14" s="123">
        <v>251406</v>
      </c>
      <c r="N14" s="123">
        <v>117581</v>
      </c>
      <c r="O14" s="168">
        <v>95562.798400999993</v>
      </c>
      <c r="P14" s="125">
        <f>O14/O$36</f>
        <v>0.14201755494657942</v>
      </c>
    </row>
    <row r="15" spans="1:16" x14ac:dyDescent="0.2">
      <c r="A15" s="115" t="str">
        <f>Translation!$A389</f>
        <v xml:space="preserve">   Capitalisation complète avec garantie étatique</v>
      </c>
      <c r="B15" s="30">
        <v>15</v>
      </c>
      <c r="C15" s="6">
        <v>95240</v>
      </c>
      <c r="D15" s="6">
        <v>43979</v>
      </c>
      <c r="E15" s="151">
        <v>36257.747000000003</v>
      </c>
      <c r="F15" s="31">
        <f>E15/E$36</f>
        <v>4.4104112565194753E-2</v>
      </c>
      <c r="G15" s="41">
        <v>19</v>
      </c>
      <c r="H15" s="42">
        <v>71213</v>
      </c>
      <c r="I15" s="42">
        <v>35475</v>
      </c>
      <c r="J15" s="161">
        <v>27492.075000000001</v>
      </c>
      <c r="K15" s="44">
        <f>J15/J$36</f>
        <v>3.7650435604778751E-2</v>
      </c>
      <c r="L15" s="76">
        <v>16</v>
      </c>
      <c r="M15" s="123">
        <v>66711</v>
      </c>
      <c r="N15" s="123">
        <v>29927.000000000004</v>
      </c>
      <c r="O15" s="168">
        <v>21360.056115000003</v>
      </c>
      <c r="P15" s="125">
        <f>O15/O$36</f>
        <v>3.1743554957912257E-2</v>
      </c>
    </row>
    <row r="16" spans="1:16" x14ac:dyDescent="0.2">
      <c r="A16" s="115" t="str">
        <f>Translation!$A390</f>
        <v xml:space="preserve">   Capitalisation partielle</v>
      </c>
      <c r="B16" s="30">
        <v>26</v>
      </c>
      <c r="C16" s="6">
        <v>244130</v>
      </c>
      <c r="D16" s="6">
        <v>109859</v>
      </c>
      <c r="E16" s="151">
        <v>69284.334000000003</v>
      </c>
      <c r="F16" s="31">
        <f>E16/E$36</f>
        <v>8.4277825253194855E-2</v>
      </c>
      <c r="G16" s="41">
        <v>24</v>
      </c>
      <c r="H16" s="42">
        <v>187241</v>
      </c>
      <c r="I16" s="42">
        <v>87457</v>
      </c>
      <c r="J16" s="161">
        <v>49003.968999999997</v>
      </c>
      <c r="K16" s="44">
        <f>J16/J$36</f>
        <v>6.7111004870060692E-2</v>
      </c>
      <c r="L16" s="76">
        <v>20</v>
      </c>
      <c r="M16" s="123">
        <v>162962</v>
      </c>
      <c r="N16" s="123">
        <v>70980</v>
      </c>
      <c r="O16" s="168">
        <v>34502.131999999998</v>
      </c>
      <c r="P16" s="125">
        <f>O16/O$36</f>
        <v>5.1274225002528415E-2</v>
      </c>
    </row>
    <row r="17" spans="1:16" x14ac:dyDescent="0.2">
      <c r="A17" s="115" t="str">
        <f>Translation!$A391</f>
        <v xml:space="preserve">   Système appliqué à l'avenir non encore déterminé</v>
      </c>
      <c r="B17" s="30">
        <v>2</v>
      </c>
      <c r="C17" s="6">
        <v>10</v>
      </c>
      <c r="D17" s="6">
        <v>74</v>
      </c>
      <c r="E17" s="151">
        <v>52.401000000000003</v>
      </c>
      <c r="F17" s="31">
        <f>E17/E$36</f>
        <v>6.3740849714924924E-5</v>
      </c>
      <c r="G17" s="41">
        <v>15</v>
      </c>
      <c r="H17" s="42">
        <v>99662</v>
      </c>
      <c r="I17" s="42">
        <v>36773</v>
      </c>
      <c r="J17" s="161">
        <v>28543.544999999998</v>
      </c>
      <c r="K17" s="44">
        <f>J17/J$36</f>
        <v>3.9090425257264298E-2</v>
      </c>
      <c r="L17" s="76">
        <v>30</v>
      </c>
      <c r="M17" s="123">
        <v>155676</v>
      </c>
      <c r="N17" s="123">
        <v>54336.999999999993</v>
      </c>
      <c r="O17" s="168">
        <v>42897.514000000003</v>
      </c>
      <c r="P17" s="125">
        <f>O17/O$36</f>
        <v>6.3750749805406598E-2</v>
      </c>
    </row>
    <row r="18" spans="1:16" ht="12.75" hidden="1" customHeight="1" x14ac:dyDescent="0.2">
      <c r="B18" s="30"/>
      <c r="C18" s="6"/>
      <c r="D18" s="6"/>
      <c r="E18" s="151"/>
      <c r="F18" s="31"/>
      <c r="G18" s="41"/>
      <c r="H18" s="42"/>
      <c r="I18" s="42"/>
      <c r="J18" s="161"/>
      <c r="K18" s="44"/>
      <c r="L18" s="76"/>
      <c r="M18" s="123"/>
      <c r="N18" s="123"/>
      <c r="O18" s="168"/>
      <c r="P18" s="125"/>
    </row>
    <row r="19" spans="1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1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1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1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1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1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1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1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1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1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1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1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1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1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>SUM(C$12:C$35)</f>
        <v>4004037</v>
      </c>
      <c r="D36" s="7">
        <f>SUM(D$12:D$35)</f>
        <v>868818</v>
      </c>
      <c r="E36" s="152">
        <f>SUM(E$12:E$35)</f>
        <v>822094.46899999992</v>
      </c>
      <c r="F36" s="64">
        <f t="shared" ref="F36:J36" si="0">SUM(F$12:F$35)</f>
        <v>1</v>
      </c>
      <c r="G36" s="45">
        <f t="shared" si="0"/>
        <v>1905</v>
      </c>
      <c r="H36" s="65">
        <f t="shared" si="0"/>
        <v>3932748</v>
      </c>
      <c r="I36" s="65">
        <f t="shared" si="0"/>
        <v>943332</v>
      </c>
      <c r="J36" s="162">
        <f t="shared" si="0"/>
        <v>730192.74699999997</v>
      </c>
      <c r="K36" s="66">
        <f t="shared" ref="K36:O36" si="1">SUM(K$12:K$35)</f>
        <v>1</v>
      </c>
      <c r="L36" s="77">
        <f t="shared" si="1"/>
        <v>1862</v>
      </c>
      <c r="M36" s="126">
        <f t="shared" si="1"/>
        <v>3700498</v>
      </c>
      <c r="N36" s="126">
        <f t="shared" si="1"/>
        <v>910945</v>
      </c>
      <c r="O36" s="169">
        <f t="shared" si="1"/>
        <v>672894.26604300004</v>
      </c>
      <c r="P36" s="128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institutions de prévoyance sans garantie étatique</v>
      </c>
    </row>
    <row r="52" spans="1:16" x14ac:dyDescent="0.2">
      <c r="A52" s="115" t="str">
        <f>$A$12</f>
        <v>Employeur de droit privé</v>
      </c>
      <c r="B52" s="33">
        <v>1739</v>
      </c>
      <c r="C52" s="8">
        <v>3322093</v>
      </c>
      <c r="D52" s="8">
        <v>565595</v>
      </c>
      <c r="E52" s="153">
        <v>583227.62199999997</v>
      </c>
      <c r="F52" s="34">
        <f>E52/E$76</f>
        <v>0.81399530018414357</v>
      </c>
      <c r="G52" s="47">
        <v>1792</v>
      </c>
      <c r="H52" s="48">
        <v>3263614</v>
      </c>
      <c r="I52" s="48">
        <v>643387</v>
      </c>
      <c r="J52" s="163">
        <v>508188.12199999997</v>
      </c>
      <c r="K52" s="50">
        <f>J52/J$76</f>
        <v>0.81290179133990714</v>
      </c>
      <c r="L52" s="129"/>
      <c r="M52" s="130"/>
      <c r="N52" s="130"/>
      <c r="O52" s="170"/>
      <c r="P52" s="132"/>
    </row>
    <row r="53" spans="1:16" ht="12.75" customHeight="1" x14ac:dyDescent="0.2">
      <c r="A53" s="115" t="str">
        <f>$A$13</f>
        <v>Employeur de droit public</v>
      </c>
      <c r="B53" s="33"/>
      <c r="C53" s="8"/>
      <c r="D53" s="8"/>
      <c r="E53" s="153"/>
      <c r="F53" s="34"/>
      <c r="G53" s="47"/>
      <c r="H53" s="48"/>
      <c r="I53" s="48"/>
      <c r="J53" s="163"/>
      <c r="K53" s="50"/>
      <c r="L53" s="129"/>
      <c r="M53" s="130"/>
      <c r="N53" s="130"/>
      <c r="O53" s="170"/>
      <c r="P53" s="132"/>
    </row>
    <row r="54" spans="1:16" x14ac:dyDescent="0.2">
      <c r="A54" s="115" t="str">
        <f>$A$14</f>
        <v xml:space="preserve">   Capitalisation complète sans garantie étatique</v>
      </c>
      <c r="B54" s="33">
        <v>63</v>
      </c>
      <c r="C54" s="8">
        <v>342564</v>
      </c>
      <c r="D54" s="8">
        <v>149311</v>
      </c>
      <c r="E54" s="153">
        <v>133272.36499999999</v>
      </c>
      <c r="F54" s="34">
        <f>E54/E$76</f>
        <v>0.18600469981585638</v>
      </c>
      <c r="G54" s="47">
        <v>55</v>
      </c>
      <c r="H54" s="48">
        <v>311018</v>
      </c>
      <c r="I54" s="48">
        <v>140240</v>
      </c>
      <c r="J54" s="163">
        <v>116965.03599999999</v>
      </c>
      <c r="K54" s="50">
        <f>J54/J$76</f>
        <v>0.18709820866009286</v>
      </c>
      <c r="L54" s="129"/>
      <c r="M54" s="130"/>
      <c r="N54" s="130"/>
      <c r="O54" s="170"/>
      <c r="P54" s="132"/>
    </row>
    <row r="55" spans="1:16" x14ac:dyDescent="0.2">
      <c r="A55" s="115" t="str">
        <f>$A$15</f>
        <v xml:space="preserve">   Capitalisation complète avec garantie étatique</v>
      </c>
      <c r="B55" s="33">
        <v>0</v>
      </c>
      <c r="C55" s="8">
        <v>0</v>
      </c>
      <c r="D55" s="8">
        <v>0</v>
      </c>
      <c r="E55" s="153">
        <v>0</v>
      </c>
      <c r="F55" s="34">
        <f>E55/E$76</f>
        <v>0</v>
      </c>
      <c r="G55" s="47">
        <v>0</v>
      </c>
      <c r="H55" s="48">
        <v>0</v>
      </c>
      <c r="I55" s="48">
        <v>0</v>
      </c>
      <c r="J55" s="163">
        <v>0</v>
      </c>
      <c r="K55" s="50">
        <f>J55/J$76</f>
        <v>0</v>
      </c>
      <c r="L55" s="129"/>
      <c r="M55" s="130"/>
      <c r="N55" s="130"/>
      <c r="O55" s="170"/>
      <c r="P55" s="132"/>
    </row>
    <row r="56" spans="1:16" x14ac:dyDescent="0.2">
      <c r="A56" s="115" t="str">
        <f>$A$16</f>
        <v xml:space="preserve">   Capitalisation partielle</v>
      </c>
      <c r="B56" s="33">
        <v>0</v>
      </c>
      <c r="C56" s="8">
        <v>0</v>
      </c>
      <c r="D56" s="8">
        <v>0</v>
      </c>
      <c r="E56" s="153">
        <v>0</v>
      </c>
      <c r="F56" s="34">
        <f>E56/E$76</f>
        <v>0</v>
      </c>
      <c r="G56" s="47">
        <v>0</v>
      </c>
      <c r="H56" s="48">
        <v>0</v>
      </c>
      <c r="I56" s="48">
        <v>0</v>
      </c>
      <c r="J56" s="163">
        <v>0</v>
      </c>
      <c r="K56" s="50">
        <f>J56/J$76</f>
        <v>0</v>
      </c>
      <c r="L56" s="129"/>
      <c r="M56" s="130"/>
      <c r="N56" s="130"/>
      <c r="O56" s="170"/>
      <c r="P56" s="132"/>
    </row>
    <row r="57" spans="1:16" x14ac:dyDescent="0.2">
      <c r="A57" s="115" t="str">
        <f>$A$17</f>
        <v xml:space="preserve">   Système appliqué à l'avenir non encore déterminé</v>
      </c>
      <c r="B57" s="33">
        <v>0</v>
      </c>
      <c r="C57" s="8">
        <v>0</v>
      </c>
      <c r="D57" s="8">
        <v>0</v>
      </c>
      <c r="E57" s="153">
        <v>0</v>
      </c>
      <c r="F57" s="34">
        <f>E57/E$76</f>
        <v>0</v>
      </c>
      <c r="G57" s="47">
        <v>0</v>
      </c>
      <c r="H57" s="48">
        <v>0</v>
      </c>
      <c r="I57" s="48">
        <v>0</v>
      </c>
      <c r="J57" s="163">
        <v>0</v>
      </c>
      <c r="K57" s="50">
        <f>J57/J$76</f>
        <v>0</v>
      </c>
      <c r="L57" s="129"/>
      <c r="M57" s="130"/>
      <c r="N57" s="130"/>
      <c r="O57" s="170"/>
      <c r="P57" s="132"/>
    </row>
    <row r="58" spans="1:16" ht="12.75" hidden="1" customHeight="1" x14ac:dyDescent="0.2">
      <c r="A58" s="115">
        <f>$A$18</f>
        <v>0</v>
      </c>
      <c r="B58" s="33"/>
      <c r="C58" s="8"/>
      <c r="D58" s="8"/>
      <c r="E58" s="153"/>
      <c r="F58" s="34"/>
      <c r="G58" s="47"/>
      <c r="H58" s="48"/>
      <c r="I58" s="48"/>
      <c r="J58" s="163"/>
      <c r="K58" s="50"/>
      <c r="L58" s="129"/>
      <c r="M58" s="130"/>
      <c r="N58" s="130"/>
      <c r="O58" s="170"/>
      <c r="P58" s="132"/>
    </row>
    <row r="59" spans="1:16" ht="12.75" hidden="1" customHeight="1" x14ac:dyDescent="0.2">
      <c r="A59" s="115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5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5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5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5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5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5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716499.98699999996</v>
      </c>
      <c r="F76" s="67">
        <f t="shared" ref="F76:J76" si="2">SUM(F$52:F$75)</f>
        <v>1</v>
      </c>
      <c r="G76" s="51">
        <f t="shared" si="2"/>
        <v>1847</v>
      </c>
      <c r="H76" s="68">
        <f t="shared" si="2"/>
        <v>3574632</v>
      </c>
      <c r="I76" s="68">
        <f t="shared" si="2"/>
        <v>783627</v>
      </c>
      <c r="J76" s="164">
        <f t="shared" si="2"/>
        <v>625153.15799999994</v>
      </c>
      <c r="K76" s="69">
        <f t="shared" ref="K76" si="3">SUM(K$52:K$75)</f>
        <v>1</v>
      </c>
      <c r="L76" s="133"/>
      <c r="M76" s="134"/>
      <c r="N76" s="134"/>
      <c r="O76" s="171"/>
      <c r="P76" s="136"/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institutions de prévoyance avec garantie étatique</v>
      </c>
    </row>
    <row r="92" spans="1:16" x14ac:dyDescent="0.2">
      <c r="A92" s="115" t="str">
        <f>$A$12</f>
        <v>Employeur de droit privé</v>
      </c>
      <c r="B92" s="36">
        <v>0</v>
      </c>
      <c r="C92" s="10">
        <v>0</v>
      </c>
      <c r="D92" s="10">
        <v>0</v>
      </c>
      <c r="E92" s="155">
        <v>0</v>
      </c>
      <c r="F92" s="37">
        <f>E92/E$116</f>
        <v>0</v>
      </c>
      <c r="G92" s="53">
        <v>0</v>
      </c>
      <c r="H92" s="54">
        <v>0</v>
      </c>
      <c r="I92" s="54">
        <v>0</v>
      </c>
      <c r="J92" s="165">
        <v>0</v>
      </c>
      <c r="K92" s="56">
        <f>J92/J$116</f>
        <v>0</v>
      </c>
      <c r="L92" s="137"/>
      <c r="M92" s="138"/>
      <c r="N92" s="138"/>
      <c r="O92" s="172"/>
      <c r="P92" s="140"/>
    </row>
    <row r="93" spans="1:16" ht="12.75" customHeight="1" x14ac:dyDescent="0.2">
      <c r="A93" s="115" t="str">
        <f>$A$13</f>
        <v>Employeur de droit public</v>
      </c>
      <c r="B93" s="36"/>
      <c r="C93" s="10"/>
      <c r="D93" s="10"/>
      <c r="E93" s="155"/>
      <c r="F93" s="37"/>
      <c r="G93" s="53"/>
      <c r="H93" s="54"/>
      <c r="I93" s="54"/>
      <c r="J93" s="165"/>
      <c r="K93" s="56"/>
      <c r="L93" s="137"/>
      <c r="M93" s="138"/>
      <c r="N93" s="138"/>
      <c r="O93" s="172"/>
      <c r="P93" s="140"/>
    </row>
    <row r="94" spans="1:16" x14ac:dyDescent="0.2">
      <c r="A94" s="115" t="str">
        <f>$A$14</f>
        <v xml:space="preserve">   Capitalisation complète sans garantie étatique</v>
      </c>
      <c r="B94" s="36">
        <v>0</v>
      </c>
      <c r="C94" s="10">
        <v>0</v>
      </c>
      <c r="D94" s="10">
        <v>0</v>
      </c>
      <c r="E94" s="155">
        <v>0</v>
      </c>
      <c r="F94" s="37">
        <f>E94/E$116</f>
        <v>0</v>
      </c>
      <c r="G94" s="53">
        <v>0</v>
      </c>
      <c r="H94" s="54">
        <v>0</v>
      </c>
      <c r="I94" s="54">
        <v>0</v>
      </c>
      <c r="J94" s="165">
        <v>0</v>
      </c>
      <c r="K94" s="56">
        <f>J94/J$116</f>
        <v>0</v>
      </c>
      <c r="L94" s="137"/>
      <c r="M94" s="138"/>
      <c r="N94" s="138"/>
      <c r="O94" s="172"/>
      <c r="P94" s="140"/>
    </row>
    <row r="95" spans="1:16" x14ac:dyDescent="0.2">
      <c r="A95" s="115" t="str">
        <f>$A$15</f>
        <v xml:space="preserve">   Capitalisation complète avec garantie étatique</v>
      </c>
      <c r="B95" s="36">
        <v>15</v>
      </c>
      <c r="C95" s="10">
        <v>95240</v>
      </c>
      <c r="D95" s="10">
        <v>43979</v>
      </c>
      <c r="E95" s="155">
        <v>36257.747000000003</v>
      </c>
      <c r="F95" s="37">
        <f>E95/E$116</f>
        <v>0.34336781916312636</v>
      </c>
      <c r="G95" s="53">
        <v>19</v>
      </c>
      <c r="H95" s="54">
        <v>71213</v>
      </c>
      <c r="I95" s="54">
        <v>35475</v>
      </c>
      <c r="J95" s="165">
        <v>27492.075000000001</v>
      </c>
      <c r="K95" s="56">
        <f>J95/J$116</f>
        <v>0.26173060330614967</v>
      </c>
      <c r="L95" s="137"/>
      <c r="M95" s="138"/>
      <c r="N95" s="138"/>
      <c r="O95" s="172"/>
      <c r="P95" s="140"/>
    </row>
    <row r="96" spans="1:16" x14ac:dyDescent="0.2">
      <c r="A96" s="115" t="str">
        <f>$A$16</f>
        <v xml:space="preserve">   Capitalisation partielle</v>
      </c>
      <c r="B96" s="36">
        <v>26</v>
      </c>
      <c r="C96" s="10">
        <v>244130</v>
      </c>
      <c r="D96" s="10">
        <v>109859</v>
      </c>
      <c r="E96" s="155">
        <v>69284.334000000003</v>
      </c>
      <c r="F96" s="37">
        <f>E96/E$116</f>
        <v>0.65613593331515185</v>
      </c>
      <c r="G96" s="53">
        <v>24</v>
      </c>
      <c r="H96" s="54">
        <v>187241</v>
      </c>
      <c r="I96" s="54">
        <v>87457</v>
      </c>
      <c r="J96" s="165">
        <v>49003.968999999997</v>
      </c>
      <c r="K96" s="56">
        <f>J96/J$116</f>
        <v>0.46652856762415551</v>
      </c>
      <c r="L96" s="137"/>
      <c r="M96" s="138"/>
      <c r="N96" s="138"/>
      <c r="O96" s="172"/>
      <c r="P96" s="140"/>
    </row>
    <row r="97" spans="1:16" x14ac:dyDescent="0.2">
      <c r="A97" s="115" t="str">
        <f>$A$17</f>
        <v xml:space="preserve">   Système appliqué à l'avenir non encore déterminé</v>
      </c>
      <c r="B97" s="36">
        <v>2</v>
      </c>
      <c r="C97" s="10">
        <v>10</v>
      </c>
      <c r="D97" s="10">
        <v>74</v>
      </c>
      <c r="E97" s="155">
        <v>52.401000000000003</v>
      </c>
      <c r="F97" s="37">
        <f>E97/E$116</f>
        <v>4.9624752172182634E-4</v>
      </c>
      <c r="G97" s="53">
        <v>15</v>
      </c>
      <c r="H97" s="54">
        <v>99662</v>
      </c>
      <c r="I97" s="54">
        <v>36773</v>
      </c>
      <c r="J97" s="165">
        <v>28543.544999999998</v>
      </c>
      <c r="K97" s="56">
        <f>J97/J$116</f>
        <v>0.27174082906969488</v>
      </c>
      <c r="L97" s="137"/>
      <c r="M97" s="138"/>
      <c r="N97" s="138"/>
      <c r="O97" s="172"/>
      <c r="P97" s="140"/>
    </row>
    <row r="98" spans="1:16" ht="12.75" hidden="1" customHeight="1" x14ac:dyDescent="0.2">
      <c r="A98" s="115">
        <f>$A$18</f>
        <v>0</v>
      </c>
      <c r="B98" s="36"/>
      <c r="C98" s="10"/>
      <c r="D98" s="10"/>
      <c r="E98" s="155"/>
      <c r="F98" s="37"/>
      <c r="G98" s="53"/>
      <c r="H98" s="54"/>
      <c r="I98" s="54"/>
      <c r="J98" s="165"/>
      <c r="K98" s="56"/>
      <c r="L98" s="137"/>
      <c r="M98" s="138"/>
      <c r="N98" s="138"/>
      <c r="O98" s="172"/>
      <c r="P98" s="140"/>
    </row>
    <row r="99" spans="1:16" ht="12.75" hidden="1" customHeight="1" x14ac:dyDescent="0.2">
      <c r="A99" s="115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:J116" si="4">SUM(F$92:F$115)</f>
        <v>1</v>
      </c>
      <c r="G116" s="57">
        <f t="shared" si="4"/>
        <v>58</v>
      </c>
      <c r="H116" s="71">
        <f t="shared" si="4"/>
        <v>358116</v>
      </c>
      <c r="I116" s="71">
        <f t="shared" si="4"/>
        <v>159705</v>
      </c>
      <c r="J116" s="166">
        <f t="shared" si="4"/>
        <v>105039.58899999999</v>
      </c>
      <c r="K116" s="72">
        <f t="shared" ref="K116" si="5">SUM(K$92:K$115)</f>
        <v>1</v>
      </c>
      <c r="L116" s="141"/>
      <c r="M116" s="142"/>
      <c r="N116" s="142"/>
      <c r="O116" s="173"/>
      <c r="P116" s="144"/>
    </row>
    <row r="120" spans="1:16" x14ac:dyDescent="0.2">
      <c r="A120" s="111" t="str">
        <f>Translation!$A$36</f>
        <v>somme du bilan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9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Translation!$A$392</f>
        <v>Couverture d'assurance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retour à la vue d'ensemble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/>
      <c r="B4" s="28" t="str">
        <f>Translation!$A$40</f>
        <v>Nombre d'IP</v>
      </c>
      <c r="C4" s="19" t="str">
        <f>Translation!$A$41</f>
        <v>Nombre d'assurés actifs</v>
      </c>
      <c r="D4" s="19" t="str">
        <f>Translation!$A$42</f>
        <v>Nombre de rentiers</v>
      </c>
      <c r="E4" s="149" t="str">
        <f>Translation!$A$43</f>
        <v>Somme du bilan</v>
      </c>
      <c r="F4" s="29" t="str">
        <f>Translation!$A$46</f>
        <v>Part de la somme du bilan</v>
      </c>
      <c r="G4" s="28" t="str">
        <f>Translation!$A$40</f>
        <v>Nombre d'IP</v>
      </c>
      <c r="H4" s="19" t="str">
        <f>Translation!$A$41</f>
        <v>Nombre d'assurés actifs</v>
      </c>
      <c r="I4" s="19" t="str">
        <f>Translation!$A$42</f>
        <v>Nombre de rentiers</v>
      </c>
      <c r="J4" s="149" t="str">
        <f>Translation!$A$43</f>
        <v>Somme du bilan</v>
      </c>
      <c r="K4" s="29" t="str">
        <f>Translation!$A$46</f>
        <v>Part de la somme du bilan</v>
      </c>
      <c r="L4" s="28" t="str">
        <f>Translation!$A$40</f>
        <v>Nombre d'IP</v>
      </c>
      <c r="M4" s="73" t="str">
        <f>Translation!$A$41</f>
        <v>Nombre d'assurés actifs</v>
      </c>
      <c r="N4" s="73" t="str">
        <f>Translation!$A$42</f>
        <v>Nombre de rentiers</v>
      </c>
      <c r="O4" s="149" t="str">
        <f>Translation!$A$43</f>
        <v>Somme du bilan</v>
      </c>
      <c r="P4" s="29" t="str">
        <f>Translation!$A$46</f>
        <v>Part de la somme du bilan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toutes les institutions de prévoyance</v>
      </c>
    </row>
    <row r="12" spans="1:16" x14ac:dyDescent="0.2">
      <c r="A12" s="119" t="str">
        <f>Translation!$A393</f>
        <v>Autonome sans réassurance</v>
      </c>
      <c r="B12" s="30">
        <v>395</v>
      </c>
      <c r="C12" s="6">
        <v>1493732</v>
      </c>
      <c r="D12" s="6">
        <v>656154</v>
      </c>
      <c r="E12" s="151">
        <v>523568.20500000002</v>
      </c>
      <c r="F12" s="31">
        <f t="shared" ref="F12:F18" si="0">E12/E$36</f>
        <v>0.63687109540691966</v>
      </c>
      <c r="G12" s="41">
        <v>418</v>
      </c>
      <c r="H12" s="42">
        <v>1455578</v>
      </c>
      <c r="I12" s="42">
        <v>643091</v>
      </c>
      <c r="J12" s="161">
        <v>487636.12599999999</v>
      </c>
      <c r="K12" s="44">
        <f t="shared" ref="K12:K18" si="1">J12/J$36</f>
        <v>0.66781836440235143</v>
      </c>
      <c r="L12" s="76">
        <v>423</v>
      </c>
      <c r="M12" s="123">
        <v>1370494</v>
      </c>
      <c r="N12" s="123">
        <v>622440</v>
      </c>
      <c r="O12" s="168">
        <v>436257.59212199994</v>
      </c>
      <c r="P12" s="125">
        <f t="shared" ref="P12:P18" si="2">O12/O$36</f>
        <v>0.64833007819704302</v>
      </c>
    </row>
    <row r="13" spans="1:16" x14ac:dyDescent="0.2">
      <c r="A13" s="119" t="str">
        <f>Translation!$A394</f>
        <v>Autonome avec réassurance de type stop-loss</v>
      </c>
      <c r="B13" s="30">
        <v>263</v>
      </c>
      <c r="C13" s="6">
        <v>336474</v>
      </c>
      <c r="D13" s="6">
        <v>68475</v>
      </c>
      <c r="E13" s="151">
        <v>66673.337</v>
      </c>
      <c r="F13" s="31">
        <f t="shared" si="0"/>
        <v>8.1101794883867526E-2</v>
      </c>
      <c r="G13" s="41">
        <v>286</v>
      </c>
      <c r="H13" s="42">
        <v>353361</v>
      </c>
      <c r="I13" s="42">
        <v>68469</v>
      </c>
      <c r="J13" s="161">
        <v>66871.706000000006</v>
      </c>
      <c r="K13" s="44">
        <f t="shared" si="1"/>
        <v>9.1580895968554468E-2</v>
      </c>
      <c r="L13" s="76">
        <v>277</v>
      </c>
      <c r="M13" s="123">
        <v>354014</v>
      </c>
      <c r="N13" s="123">
        <v>67014</v>
      </c>
      <c r="O13" s="168">
        <v>60349.112308999996</v>
      </c>
      <c r="P13" s="125">
        <f t="shared" si="2"/>
        <v>8.9685876896955938E-2</v>
      </c>
    </row>
    <row r="14" spans="1:16" x14ac:dyDescent="0.2">
      <c r="A14" s="119" t="str">
        <f>Translation!$A395</f>
        <v>Autonome avec réassurance de type excess-of-loss</v>
      </c>
      <c r="B14" s="30">
        <v>51</v>
      </c>
      <c r="C14" s="6">
        <v>422591</v>
      </c>
      <c r="D14" s="6">
        <v>54163</v>
      </c>
      <c r="E14" s="151">
        <v>55041.8</v>
      </c>
      <c r="F14" s="31">
        <f t="shared" si="0"/>
        <v>6.6953132608899707E-2</v>
      </c>
      <c r="G14" s="41">
        <v>56</v>
      </c>
      <c r="H14" s="42">
        <v>407934</v>
      </c>
      <c r="I14" s="42">
        <v>50359</v>
      </c>
      <c r="J14" s="161">
        <v>48617.902000000002</v>
      </c>
      <c r="K14" s="44">
        <f t="shared" si="1"/>
        <v>6.6582285567402394E-2</v>
      </c>
      <c r="L14" s="76">
        <v>55</v>
      </c>
      <c r="M14" s="123">
        <v>397524</v>
      </c>
      <c r="N14" s="123">
        <v>45434</v>
      </c>
      <c r="O14" s="168">
        <v>42812.336880000003</v>
      </c>
      <c r="P14" s="125">
        <f t="shared" si="2"/>
        <v>6.3624166589739045E-2</v>
      </c>
    </row>
    <row r="15" spans="1:16" ht="25.5" x14ac:dyDescent="0.2">
      <c r="A15" s="119" t="str">
        <f>Translation!$A396</f>
        <v>Semi-autonome : rentes de vieillesse garanties par l'institution de prévoyance</v>
      </c>
      <c r="B15" s="30">
        <v>752</v>
      </c>
      <c r="C15" s="6">
        <v>504264</v>
      </c>
      <c r="D15" s="6">
        <v>81997</v>
      </c>
      <c r="E15" s="151">
        <v>92973.422000000006</v>
      </c>
      <c r="F15" s="31">
        <f t="shared" si="0"/>
        <v>0.11309335545474883</v>
      </c>
      <c r="G15" s="41">
        <v>754</v>
      </c>
      <c r="H15" s="42">
        <v>426207</v>
      </c>
      <c r="I15" s="42">
        <v>74539</v>
      </c>
      <c r="J15" s="161">
        <v>76402.237999999998</v>
      </c>
      <c r="K15" s="44">
        <f t="shared" si="1"/>
        <v>0.10463297302513469</v>
      </c>
      <c r="L15" s="76">
        <v>718</v>
      </c>
      <c r="M15" s="123">
        <v>356131</v>
      </c>
      <c r="N15" s="123">
        <v>61703.999999999993</v>
      </c>
      <c r="O15" s="168">
        <v>59886.571822999991</v>
      </c>
      <c r="P15" s="125">
        <f t="shared" si="2"/>
        <v>8.8998487348045066E-2</v>
      </c>
    </row>
    <row r="16" spans="1:16" ht="25.5" x14ac:dyDescent="0.2">
      <c r="A16" s="119" t="str">
        <f>Translation!$A397</f>
        <v>Semi-autonome : rachat de rentes de vieillesse individuelles auprès d'une assurance</v>
      </c>
      <c r="B16" s="30">
        <v>175</v>
      </c>
      <c r="C16" s="6">
        <v>230609</v>
      </c>
      <c r="D16" s="6">
        <v>2767</v>
      </c>
      <c r="E16" s="151">
        <v>26292.458999999999</v>
      </c>
      <c r="F16" s="31">
        <f t="shared" si="0"/>
        <v>3.1982284264705341E-2</v>
      </c>
      <c r="G16" s="41">
        <v>170</v>
      </c>
      <c r="H16" s="42">
        <v>245515</v>
      </c>
      <c r="I16" s="42">
        <v>16523</v>
      </c>
      <c r="J16" s="161">
        <v>26415.684000000001</v>
      </c>
      <c r="K16" s="44">
        <f t="shared" si="1"/>
        <v>3.6176316607538152E-2</v>
      </c>
      <c r="L16" s="76">
        <v>155</v>
      </c>
      <c r="M16" s="123">
        <v>232793</v>
      </c>
      <c r="N16" s="123">
        <v>16488</v>
      </c>
      <c r="O16" s="168">
        <v>23175.033465</v>
      </c>
      <c r="P16" s="125">
        <f t="shared" si="2"/>
        <v>3.4440824709775504E-2</v>
      </c>
    </row>
    <row r="17" spans="1:16" ht="12.75" customHeight="1" x14ac:dyDescent="0.2">
      <c r="A17" s="120" t="str">
        <f>Translation!$A398</f>
        <v>Assurance complète (collective)</v>
      </c>
      <c r="B17" s="30">
        <v>149</v>
      </c>
      <c r="C17" s="6">
        <v>1014705</v>
      </c>
      <c r="D17" s="6">
        <v>5133</v>
      </c>
      <c r="E17" s="151">
        <v>57114.597999999998</v>
      </c>
      <c r="F17" s="31">
        <f t="shared" si="0"/>
        <v>6.9474494907470277E-2</v>
      </c>
      <c r="G17" s="41">
        <v>165</v>
      </c>
      <c r="H17" s="42">
        <v>1041650</v>
      </c>
      <c r="I17" s="42">
        <v>90221</v>
      </c>
      <c r="J17" s="161">
        <v>23838.482</v>
      </c>
      <c r="K17" s="44">
        <f t="shared" si="1"/>
        <v>3.2646834822641697E-2</v>
      </c>
      <c r="L17" s="76">
        <v>166</v>
      </c>
      <c r="M17" s="123">
        <v>987559</v>
      </c>
      <c r="N17" s="123">
        <v>97687</v>
      </c>
      <c r="O17" s="168">
        <v>50198.456382000011</v>
      </c>
      <c r="P17" s="125">
        <f t="shared" si="2"/>
        <v>7.4600808648876485E-2</v>
      </c>
    </row>
    <row r="18" spans="1:16" ht="12.75" customHeight="1" x14ac:dyDescent="0.2">
      <c r="A18" s="120" t="str">
        <f>Translation!$A399</f>
        <v>Institution d'épargne</v>
      </c>
      <c r="B18" s="30">
        <v>60</v>
      </c>
      <c r="C18" s="6">
        <v>1662</v>
      </c>
      <c r="D18" s="6">
        <v>129</v>
      </c>
      <c r="E18" s="151">
        <v>430.64800000000002</v>
      </c>
      <c r="F18" s="31">
        <f t="shared" si="0"/>
        <v>5.2384247338854186E-4</v>
      </c>
      <c r="G18" s="41">
        <v>56</v>
      </c>
      <c r="H18" s="42">
        <v>2503</v>
      </c>
      <c r="I18" s="42">
        <v>130</v>
      </c>
      <c r="J18" s="161">
        <v>410.60899999999998</v>
      </c>
      <c r="K18" s="44">
        <f t="shared" si="1"/>
        <v>5.6232960637720493E-4</v>
      </c>
      <c r="L18" s="76">
        <v>68</v>
      </c>
      <c r="M18" s="123">
        <v>1983</v>
      </c>
      <c r="N18" s="123">
        <v>178</v>
      </c>
      <c r="O18" s="168">
        <v>215.163062</v>
      </c>
      <c r="P18" s="125">
        <f t="shared" si="2"/>
        <v>3.1975760956514152E-4</v>
      </c>
    </row>
    <row r="19" spans="1:16" ht="12.75" hidden="1" customHeight="1" x14ac:dyDescent="0.2">
      <c r="A19" s="120"/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1:16" ht="12.75" hidden="1" customHeight="1" x14ac:dyDescent="0.2">
      <c r="A20" s="120"/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1:16" ht="12.75" hidden="1" customHeight="1" x14ac:dyDescent="0.2">
      <c r="A21" s="120"/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1:16" ht="12.75" hidden="1" customHeight="1" x14ac:dyDescent="0.2">
      <c r="A22" s="120"/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1:16" ht="12.75" hidden="1" customHeight="1" x14ac:dyDescent="0.2">
      <c r="A23" s="120"/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1:16" ht="12.75" hidden="1" customHeight="1" x14ac:dyDescent="0.2">
      <c r="A24" s="120"/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1:16" ht="12.75" hidden="1" customHeight="1" x14ac:dyDescent="0.2">
      <c r="A25" s="120"/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1:16" ht="12.75" hidden="1" customHeight="1" x14ac:dyDescent="0.2">
      <c r="A26" s="120"/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1:16" ht="12.75" hidden="1" customHeight="1" x14ac:dyDescent="0.2">
      <c r="A27" s="120"/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1:16" ht="12.75" hidden="1" customHeight="1" x14ac:dyDescent="0.2">
      <c r="A28" s="120"/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1:16" ht="12.75" hidden="1" customHeight="1" x14ac:dyDescent="0.2">
      <c r="A29" s="120"/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1:16" ht="12.75" hidden="1" customHeight="1" x14ac:dyDescent="0.2">
      <c r="A30" s="120"/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1:16" ht="12.75" hidden="1" customHeight="1" x14ac:dyDescent="0.2">
      <c r="A31" s="120"/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1:16" ht="12.75" hidden="1" customHeight="1" x14ac:dyDescent="0.2">
      <c r="A32" s="120"/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A33" s="120"/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A34" s="120"/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A35" s="120"/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3">SUM(C$12:C$35)</f>
        <v>4004037</v>
      </c>
      <c r="D36" s="7">
        <f t="shared" si="3"/>
        <v>868818</v>
      </c>
      <c r="E36" s="152">
        <f t="shared" si="3"/>
        <v>822094.46900000016</v>
      </c>
      <c r="F36" s="64">
        <f>SUM(F$12:F$35)</f>
        <v>0.99999999999999978</v>
      </c>
      <c r="G36" s="45">
        <f t="shared" ref="G36:J36" si="4">SUM(G$12:G$35)</f>
        <v>1905</v>
      </c>
      <c r="H36" s="65">
        <f t="shared" si="4"/>
        <v>3932748</v>
      </c>
      <c r="I36" s="65">
        <f t="shared" si="4"/>
        <v>943332</v>
      </c>
      <c r="J36" s="162">
        <f t="shared" si="4"/>
        <v>730192.74699999997</v>
      </c>
      <c r="K36" s="66">
        <f t="shared" ref="K36:O36" si="5">SUM(K$12:K$35)</f>
        <v>1</v>
      </c>
      <c r="L36" s="77">
        <f t="shared" si="5"/>
        <v>1862</v>
      </c>
      <c r="M36" s="126">
        <f t="shared" si="5"/>
        <v>3700498</v>
      </c>
      <c r="N36" s="126">
        <f t="shared" si="5"/>
        <v>910945</v>
      </c>
      <c r="O36" s="169">
        <f t="shared" si="5"/>
        <v>672894.26604299981</v>
      </c>
      <c r="P36" s="128">
        <f>SUM(P$12:P$35)</f>
        <v>1.0000000000000002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institutions de prévoyance sans garantie étatique</v>
      </c>
    </row>
    <row r="52" spans="1:16" x14ac:dyDescent="0.2">
      <c r="A52" s="119" t="str">
        <f>$A$12</f>
        <v>Autonome sans réassurance</v>
      </c>
      <c r="B52" s="33">
        <v>365</v>
      </c>
      <c r="C52" s="8">
        <v>1195728</v>
      </c>
      <c r="D52" s="8">
        <v>517595</v>
      </c>
      <c r="E52" s="153">
        <v>431881.76400000002</v>
      </c>
      <c r="F52" s="34">
        <f t="shared" ref="F52:F58" si="6">E52/E$76</f>
        <v>0.60276590626093063</v>
      </c>
      <c r="G52" s="47">
        <v>378</v>
      </c>
      <c r="H52" s="48">
        <v>1139431</v>
      </c>
      <c r="I52" s="48">
        <v>497533</v>
      </c>
      <c r="J52" s="163">
        <v>395845.12900000002</v>
      </c>
      <c r="K52" s="50">
        <f t="shared" ref="K52:K58" si="7">J52/J$76</f>
        <v>0.63319703969247176</v>
      </c>
      <c r="L52" s="129"/>
      <c r="M52" s="130"/>
      <c r="N52" s="130"/>
      <c r="O52" s="170"/>
      <c r="P52" s="132"/>
    </row>
    <row r="53" spans="1:16" x14ac:dyDescent="0.2">
      <c r="A53" s="119" t="str">
        <f>$A$13</f>
        <v>Autonome avec réassurance de type stop-loss</v>
      </c>
      <c r="B53" s="33">
        <v>255</v>
      </c>
      <c r="C53" s="8">
        <v>332772</v>
      </c>
      <c r="D53" s="8">
        <v>66615</v>
      </c>
      <c r="E53" s="153">
        <v>64726.372000000003</v>
      </c>
      <c r="F53" s="34">
        <f t="shared" si="6"/>
        <v>9.0336878121953124E-2</v>
      </c>
      <c r="G53" s="47">
        <v>276</v>
      </c>
      <c r="H53" s="48">
        <v>349218</v>
      </c>
      <c r="I53" s="48">
        <v>66342</v>
      </c>
      <c r="J53" s="163">
        <v>63142.017999999996</v>
      </c>
      <c r="K53" s="50">
        <f t="shared" si="7"/>
        <v>0.10100247785999347</v>
      </c>
      <c r="L53" s="129"/>
      <c r="M53" s="130"/>
      <c r="N53" s="130"/>
      <c r="O53" s="170"/>
      <c r="P53" s="132"/>
    </row>
    <row r="54" spans="1:16" x14ac:dyDescent="0.2">
      <c r="A54" s="119" t="str">
        <f>$A$14</f>
        <v>Autonome avec réassurance de type excess-of-loss</v>
      </c>
      <c r="B54" s="33">
        <v>49</v>
      </c>
      <c r="C54" s="8">
        <v>385989</v>
      </c>
      <c r="D54" s="8">
        <v>41112</v>
      </c>
      <c r="E54" s="153">
        <v>43321.821000000004</v>
      </c>
      <c r="F54" s="34">
        <f t="shared" si="6"/>
        <v>6.0463114844411012E-2</v>
      </c>
      <c r="G54" s="47">
        <v>54</v>
      </c>
      <c r="H54" s="48">
        <v>371874</v>
      </c>
      <c r="I54" s="48">
        <v>39023</v>
      </c>
      <c r="J54" s="163">
        <v>39476.478999999999</v>
      </c>
      <c r="K54" s="50">
        <f t="shared" si="7"/>
        <v>6.3146892077285174E-2</v>
      </c>
      <c r="L54" s="129"/>
      <c r="M54" s="130"/>
      <c r="N54" s="130"/>
      <c r="O54" s="170"/>
      <c r="P54" s="132"/>
    </row>
    <row r="55" spans="1:16" ht="25.5" x14ac:dyDescent="0.2">
      <c r="A55" s="119" t="str">
        <f>$A$15</f>
        <v>Semi-autonome : rentes de vieillesse garanties par l'institution de prévoyance</v>
      </c>
      <c r="B55" s="33">
        <v>750</v>
      </c>
      <c r="C55" s="8">
        <v>503582</v>
      </c>
      <c r="D55" s="8">
        <v>81663</v>
      </c>
      <c r="E55" s="153">
        <v>92759.328999999998</v>
      </c>
      <c r="F55" s="34">
        <f t="shared" si="6"/>
        <v>0.12946173158827984</v>
      </c>
      <c r="G55" s="47">
        <v>749</v>
      </c>
      <c r="H55" s="48">
        <v>424837</v>
      </c>
      <c r="I55" s="48">
        <v>73957</v>
      </c>
      <c r="J55" s="163">
        <v>76024.758000000002</v>
      </c>
      <c r="K55" s="50">
        <f t="shared" si="7"/>
        <v>0.12160981197506805</v>
      </c>
      <c r="L55" s="129"/>
      <c r="M55" s="130"/>
      <c r="N55" s="130"/>
      <c r="O55" s="170"/>
      <c r="P55" s="132"/>
    </row>
    <row r="56" spans="1:16" ht="25.5" x14ac:dyDescent="0.2">
      <c r="A56" s="119" t="str">
        <f>$A$16</f>
        <v>Semi-autonome : rachat de rentes de vieillesse individuelles auprès d'une assurance</v>
      </c>
      <c r="B56" s="33">
        <v>175</v>
      </c>
      <c r="C56" s="8">
        <v>230609</v>
      </c>
      <c r="D56" s="8">
        <v>2767</v>
      </c>
      <c r="E56" s="153">
        <v>26292.458999999999</v>
      </c>
      <c r="F56" s="34">
        <f t="shared" si="6"/>
        <v>3.6695686639279725E-2</v>
      </c>
      <c r="G56" s="47">
        <v>170</v>
      </c>
      <c r="H56" s="48">
        <v>245515</v>
      </c>
      <c r="I56" s="48">
        <v>16523</v>
      </c>
      <c r="J56" s="163">
        <v>26415.684000000001</v>
      </c>
      <c r="K56" s="50">
        <f t="shared" si="7"/>
        <v>4.225473975770911E-2</v>
      </c>
      <c r="L56" s="129"/>
      <c r="M56" s="130"/>
      <c r="N56" s="130"/>
      <c r="O56" s="170"/>
      <c r="P56" s="132"/>
    </row>
    <row r="57" spans="1:16" ht="12.75" customHeight="1" x14ac:dyDescent="0.2">
      <c r="A57" s="119" t="str">
        <f>$A$17</f>
        <v>Assurance complète (collective)</v>
      </c>
      <c r="B57" s="33">
        <v>149</v>
      </c>
      <c r="C57" s="8">
        <v>1014705</v>
      </c>
      <c r="D57" s="8">
        <v>5133</v>
      </c>
      <c r="E57" s="153">
        <v>57114.597999999998</v>
      </c>
      <c r="F57" s="34">
        <f t="shared" si="6"/>
        <v>7.9713327336040821E-2</v>
      </c>
      <c r="G57" s="47">
        <v>165</v>
      </c>
      <c r="H57" s="48">
        <v>1041650</v>
      </c>
      <c r="I57" s="48">
        <v>90221</v>
      </c>
      <c r="J57" s="163">
        <v>23838.482</v>
      </c>
      <c r="K57" s="50">
        <f t="shared" si="7"/>
        <v>3.8132226791054623E-2</v>
      </c>
      <c r="L57" s="129"/>
      <c r="M57" s="130"/>
      <c r="N57" s="130"/>
      <c r="O57" s="170"/>
      <c r="P57" s="132"/>
    </row>
    <row r="58" spans="1:16" ht="12.75" customHeight="1" x14ac:dyDescent="0.2">
      <c r="A58" s="119" t="str">
        <f>$A$18</f>
        <v>Institution d'épargne</v>
      </c>
      <c r="B58" s="33">
        <v>59</v>
      </c>
      <c r="C58" s="8">
        <v>1272</v>
      </c>
      <c r="D58" s="8">
        <v>21</v>
      </c>
      <c r="E58" s="153">
        <v>403.64400000000001</v>
      </c>
      <c r="F58" s="34">
        <f t="shared" si="6"/>
        <v>5.6335520910483976E-4</v>
      </c>
      <c r="G58" s="47">
        <v>55</v>
      </c>
      <c r="H58" s="48">
        <v>2107</v>
      </c>
      <c r="I58" s="48">
        <v>28</v>
      </c>
      <c r="J58" s="163">
        <v>410.608</v>
      </c>
      <c r="K58" s="50">
        <f t="shared" si="7"/>
        <v>6.5681184641796218E-4</v>
      </c>
      <c r="L58" s="129"/>
      <c r="M58" s="130"/>
      <c r="N58" s="130"/>
      <c r="O58" s="170"/>
      <c r="P58" s="132"/>
    </row>
    <row r="59" spans="1:16" ht="12.75" hidden="1" customHeight="1" x14ac:dyDescent="0.2">
      <c r="A59" s="119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9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9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9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9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9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9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9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9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9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9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9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9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9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9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9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A75" s="120"/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716499.98700000008</v>
      </c>
      <c r="F76" s="67">
        <f t="shared" ref="F76:J76" si="8">SUM(F$52:F$75)</f>
        <v>1</v>
      </c>
      <c r="G76" s="51">
        <f t="shared" si="8"/>
        <v>1847</v>
      </c>
      <c r="H76" s="68">
        <f t="shared" si="8"/>
        <v>3574632</v>
      </c>
      <c r="I76" s="68">
        <f t="shared" si="8"/>
        <v>783627</v>
      </c>
      <c r="J76" s="164">
        <f t="shared" si="8"/>
        <v>625153.15799999994</v>
      </c>
      <c r="K76" s="69">
        <f t="shared" ref="K76" si="9">SUM(K$52:K$75)</f>
        <v>1.0000000000000002</v>
      </c>
      <c r="L76" s="133"/>
      <c r="M76" s="134"/>
      <c r="N76" s="134"/>
      <c r="O76" s="171"/>
      <c r="P76" s="136"/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institutions de prévoyance avec garantie étatique</v>
      </c>
    </row>
    <row r="92" spans="1:16" x14ac:dyDescent="0.2">
      <c r="A92" s="119" t="str">
        <f>$A$12</f>
        <v>Autonome sans réassurance</v>
      </c>
      <c r="B92" s="36">
        <v>30</v>
      </c>
      <c r="C92" s="10">
        <v>298004</v>
      </c>
      <c r="D92" s="10">
        <v>138559</v>
      </c>
      <c r="E92" s="155">
        <v>91686.441000000006</v>
      </c>
      <c r="F92" s="37">
        <f t="shared" ref="F92:F98" si="10">E92/E$116</f>
        <v>0.86828818384657636</v>
      </c>
      <c r="G92" s="53">
        <v>40</v>
      </c>
      <c r="H92" s="54">
        <v>316147</v>
      </c>
      <c r="I92" s="54">
        <v>145558</v>
      </c>
      <c r="J92" s="165">
        <v>91790.997000000003</v>
      </c>
      <c r="K92" s="56">
        <f t="shared" ref="K92:K98" si="11">J92/J$116</f>
        <v>0.87387048896392783</v>
      </c>
      <c r="L92" s="137"/>
      <c r="M92" s="138"/>
      <c r="N92" s="138"/>
      <c r="O92" s="172"/>
      <c r="P92" s="140"/>
    </row>
    <row r="93" spans="1:16" x14ac:dyDescent="0.2">
      <c r="A93" s="119" t="str">
        <f>$A$13</f>
        <v>Autonome avec réassurance de type stop-loss</v>
      </c>
      <c r="B93" s="36">
        <v>8</v>
      </c>
      <c r="C93" s="10">
        <v>3702</v>
      </c>
      <c r="D93" s="10">
        <v>1860</v>
      </c>
      <c r="E93" s="155">
        <v>1946.9649999999999</v>
      </c>
      <c r="F93" s="37">
        <f t="shared" si="10"/>
        <v>1.8438132022845662E-2</v>
      </c>
      <c r="G93" s="53">
        <v>10</v>
      </c>
      <c r="H93" s="54">
        <v>4143</v>
      </c>
      <c r="I93" s="54">
        <v>2127</v>
      </c>
      <c r="J93" s="165">
        <v>3729.6880000000001</v>
      </c>
      <c r="K93" s="56">
        <f t="shared" si="11"/>
        <v>3.5507450433759795E-2</v>
      </c>
      <c r="L93" s="137"/>
      <c r="M93" s="138"/>
      <c r="N93" s="138"/>
      <c r="O93" s="172"/>
      <c r="P93" s="140"/>
    </row>
    <row r="94" spans="1:16" x14ac:dyDescent="0.2">
      <c r="A94" s="119" t="str">
        <f>$A$14</f>
        <v>Autonome avec réassurance de type excess-of-loss</v>
      </c>
      <c r="B94" s="36">
        <v>2</v>
      </c>
      <c r="C94" s="10">
        <v>36602</v>
      </c>
      <c r="D94" s="10">
        <v>13051</v>
      </c>
      <c r="E94" s="155">
        <v>11719.978999999999</v>
      </c>
      <c r="F94" s="37">
        <f t="shared" si="10"/>
        <v>0.11099044929260601</v>
      </c>
      <c r="G94" s="53">
        <v>2</v>
      </c>
      <c r="H94" s="54">
        <v>36060</v>
      </c>
      <c r="I94" s="54">
        <v>11336</v>
      </c>
      <c r="J94" s="165">
        <v>9141.4230000000007</v>
      </c>
      <c r="K94" s="56">
        <f t="shared" si="11"/>
        <v>8.7028358422080287E-2</v>
      </c>
      <c r="L94" s="137"/>
      <c r="M94" s="138"/>
      <c r="N94" s="138"/>
      <c r="O94" s="172"/>
      <c r="P94" s="140"/>
    </row>
    <row r="95" spans="1:16" ht="25.5" x14ac:dyDescent="0.2">
      <c r="A95" s="119" t="str">
        <f>$A$15</f>
        <v>Semi-autonome : rentes de vieillesse garanties par l'institution de prévoyance</v>
      </c>
      <c r="B95" s="36">
        <v>2</v>
      </c>
      <c r="C95" s="10">
        <v>682</v>
      </c>
      <c r="D95" s="10">
        <v>334</v>
      </c>
      <c r="E95" s="155">
        <v>214.09299999999999</v>
      </c>
      <c r="F95" s="37">
        <f t="shared" si="10"/>
        <v>2.0275017779811636E-3</v>
      </c>
      <c r="G95" s="53">
        <v>5</v>
      </c>
      <c r="H95" s="54">
        <v>1370</v>
      </c>
      <c r="I95" s="54">
        <v>582</v>
      </c>
      <c r="J95" s="165">
        <v>377.48</v>
      </c>
      <c r="K95" s="56">
        <f t="shared" si="11"/>
        <v>3.5936926600122175E-3</v>
      </c>
      <c r="L95" s="137"/>
      <c r="M95" s="138"/>
      <c r="N95" s="138"/>
      <c r="O95" s="172"/>
      <c r="P95" s="140"/>
    </row>
    <row r="96" spans="1:16" ht="25.5" x14ac:dyDescent="0.2">
      <c r="A96" s="119" t="str">
        <f>$A$16</f>
        <v>Semi-autonome : rachat de rentes de vieillesse individuelles auprès d'une assurance</v>
      </c>
      <c r="B96" s="36">
        <v>0</v>
      </c>
      <c r="C96" s="10">
        <v>0</v>
      </c>
      <c r="D96" s="10">
        <v>0</v>
      </c>
      <c r="E96" s="155">
        <v>0</v>
      </c>
      <c r="F96" s="37">
        <f t="shared" si="10"/>
        <v>0</v>
      </c>
      <c r="G96" s="53">
        <v>0</v>
      </c>
      <c r="H96" s="54">
        <v>0</v>
      </c>
      <c r="I96" s="54">
        <v>0</v>
      </c>
      <c r="J96" s="165">
        <v>0</v>
      </c>
      <c r="K96" s="56">
        <f t="shared" si="11"/>
        <v>0</v>
      </c>
      <c r="L96" s="137"/>
      <c r="M96" s="138"/>
      <c r="N96" s="138"/>
      <c r="O96" s="172"/>
      <c r="P96" s="140"/>
    </row>
    <row r="97" spans="1:16" ht="12.75" customHeight="1" x14ac:dyDescent="0.2">
      <c r="A97" s="119" t="str">
        <f>$A$17</f>
        <v>Assurance complète (collective)</v>
      </c>
      <c r="B97" s="36">
        <v>0</v>
      </c>
      <c r="C97" s="10">
        <v>0</v>
      </c>
      <c r="D97" s="10">
        <v>0</v>
      </c>
      <c r="E97" s="155">
        <v>0</v>
      </c>
      <c r="F97" s="37">
        <f t="shared" si="10"/>
        <v>0</v>
      </c>
      <c r="G97" s="53">
        <v>0</v>
      </c>
      <c r="H97" s="54">
        <v>0</v>
      </c>
      <c r="I97" s="54">
        <v>0</v>
      </c>
      <c r="J97" s="165">
        <v>0</v>
      </c>
      <c r="K97" s="56">
        <f t="shared" si="11"/>
        <v>0</v>
      </c>
      <c r="L97" s="137"/>
      <c r="M97" s="138"/>
      <c r="N97" s="138"/>
      <c r="O97" s="172"/>
      <c r="P97" s="140"/>
    </row>
    <row r="98" spans="1:16" ht="12.75" customHeight="1" x14ac:dyDescent="0.2">
      <c r="A98" s="119" t="str">
        <f>$A$18</f>
        <v>Institution d'épargne</v>
      </c>
      <c r="B98" s="36">
        <v>1</v>
      </c>
      <c r="C98" s="10">
        <v>390</v>
      </c>
      <c r="D98" s="10">
        <v>108</v>
      </c>
      <c r="E98" s="155">
        <v>27.004000000000001</v>
      </c>
      <c r="F98" s="37">
        <f t="shared" si="10"/>
        <v>2.557330599907673E-4</v>
      </c>
      <c r="G98" s="53">
        <v>1</v>
      </c>
      <c r="H98" s="54">
        <v>396</v>
      </c>
      <c r="I98" s="54">
        <v>102</v>
      </c>
      <c r="J98" s="165">
        <v>1E-3</v>
      </c>
      <c r="K98" s="56">
        <f t="shared" si="11"/>
        <v>9.5202200381800821E-9</v>
      </c>
      <c r="L98" s="137"/>
      <c r="M98" s="138"/>
      <c r="N98" s="138"/>
      <c r="O98" s="172"/>
      <c r="P98" s="140"/>
    </row>
    <row r="99" spans="1:16" ht="12.75" hidden="1" customHeight="1" x14ac:dyDescent="0.2">
      <c r="A99" s="119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9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9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9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9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9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9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9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9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9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9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9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9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9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9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9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A115" s="120"/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:J116" si="12">SUM(F$92:F$115)</f>
        <v>0.99999999999999989</v>
      </c>
      <c r="G116" s="57">
        <f t="shared" si="12"/>
        <v>58</v>
      </c>
      <c r="H116" s="71">
        <f t="shared" si="12"/>
        <v>358116</v>
      </c>
      <c r="I116" s="71">
        <f t="shared" si="12"/>
        <v>159705</v>
      </c>
      <c r="J116" s="166">
        <f t="shared" si="12"/>
        <v>105039.58899999999</v>
      </c>
      <c r="K116" s="72">
        <f t="shared" ref="K116" si="13">SUM(K$92:K$115)</f>
        <v>1</v>
      </c>
      <c r="L116" s="141"/>
      <c r="M116" s="142"/>
      <c r="N116" s="142"/>
      <c r="O116" s="173"/>
      <c r="P116" s="144"/>
    </row>
    <row r="120" spans="1:16" x14ac:dyDescent="0.2">
      <c r="A120" s="111" t="str">
        <f>Translation!$A$36</f>
        <v>somme du bilan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0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Translation!$A$400</f>
        <v>Enregistrement et étendue des prestations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retour à la vue d'ensemble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/>
      <c r="B4" s="28" t="str">
        <f>Translation!$A$40</f>
        <v>Nombre d'IP</v>
      </c>
      <c r="C4" s="19" t="str">
        <f>Translation!$A$41</f>
        <v>Nombre d'assurés actifs</v>
      </c>
      <c r="D4" s="19" t="str">
        <f>Translation!$A$42</f>
        <v>Nombre de rentiers</v>
      </c>
      <c r="E4" s="149" t="str">
        <f>Translation!$A$43</f>
        <v>Somme du bilan</v>
      </c>
      <c r="F4" s="29" t="str">
        <f>Translation!$A$46</f>
        <v>Part de la somme du bilan</v>
      </c>
      <c r="G4" s="28" t="str">
        <f>Translation!$A$40</f>
        <v>Nombre d'IP</v>
      </c>
      <c r="H4" s="19" t="str">
        <f>Translation!$A$41</f>
        <v>Nombre d'assurés actifs</v>
      </c>
      <c r="I4" s="19" t="str">
        <f>Translation!$A$42</f>
        <v>Nombre de rentiers</v>
      </c>
      <c r="J4" s="149" t="str">
        <f>Translation!$A$43</f>
        <v>Somme du bilan</v>
      </c>
      <c r="K4" s="29" t="str">
        <f>Translation!$A$46</f>
        <v>Part de la somme du bilan</v>
      </c>
      <c r="L4" s="28" t="str">
        <f>Translation!$A$40</f>
        <v>Nombre d'IP</v>
      </c>
      <c r="M4" s="73" t="str">
        <f>Translation!$A$41</f>
        <v>Nombre d'assurés actifs</v>
      </c>
      <c r="N4" s="73" t="str">
        <f>Translation!$A$42</f>
        <v>Nombre de rentiers</v>
      </c>
      <c r="O4" s="149" t="str">
        <f>Translation!$A$43</f>
        <v>Somme du bilan</v>
      </c>
      <c r="P4" s="29" t="str">
        <f>Translation!$A$46</f>
        <v>Part de la somme du bilan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toutes les institutions de prévoyance</v>
      </c>
    </row>
    <row r="12" spans="1:16" x14ac:dyDescent="0.2">
      <c r="A12" s="115" t="str">
        <f>Translation!$A401</f>
        <v>Prestations obligatoires (y compris IP enveloppantes)</v>
      </c>
      <c r="B12" s="30">
        <v>1531</v>
      </c>
      <c r="C12" s="6">
        <v>3891191</v>
      </c>
      <c r="D12" s="6">
        <v>857625</v>
      </c>
      <c r="E12" s="151">
        <v>806482.28599999996</v>
      </c>
      <c r="F12" s="31">
        <f>E12/E$36</f>
        <v>0.98100925916824289</v>
      </c>
      <c r="G12" s="41">
        <v>1588</v>
      </c>
      <c r="H12" s="42">
        <v>3823133</v>
      </c>
      <c r="I12" s="42">
        <v>930521</v>
      </c>
      <c r="J12" s="161">
        <v>717351.32900000003</v>
      </c>
      <c r="K12" s="44">
        <f>J12/J$36</f>
        <v>0.98241365988260088</v>
      </c>
      <c r="L12" s="76">
        <v>1629</v>
      </c>
      <c r="M12" s="123">
        <v>3619992</v>
      </c>
      <c r="N12" s="123">
        <v>900658</v>
      </c>
      <c r="O12" s="168">
        <v>663566.22625800013</v>
      </c>
      <c r="P12" s="125">
        <f>O12/O$36</f>
        <v>0.98613743606428061</v>
      </c>
    </row>
    <row r="13" spans="1:16" x14ac:dyDescent="0.2">
      <c r="A13" s="115" t="str">
        <f>Translation!$A402</f>
        <v>Prestations surobligatoires uniquement</v>
      </c>
      <c r="B13" s="30">
        <v>314</v>
      </c>
      <c r="C13" s="6">
        <v>112846</v>
      </c>
      <c r="D13" s="6">
        <v>11193</v>
      </c>
      <c r="E13" s="151">
        <v>15612.183000000001</v>
      </c>
      <c r="F13" s="31">
        <f>E13/E$36</f>
        <v>1.8990740831757138E-2</v>
      </c>
      <c r="G13" s="41">
        <v>317</v>
      </c>
      <c r="H13" s="42">
        <v>109615</v>
      </c>
      <c r="I13" s="42">
        <v>12811</v>
      </c>
      <c r="J13" s="161">
        <v>12841.418</v>
      </c>
      <c r="K13" s="44">
        <f>J13/J$36</f>
        <v>1.7586340117399166E-2</v>
      </c>
      <c r="L13" s="76">
        <v>233</v>
      </c>
      <c r="M13" s="123">
        <v>80506</v>
      </c>
      <c r="N13" s="123">
        <v>10287</v>
      </c>
      <c r="O13" s="168">
        <v>9328.039784999999</v>
      </c>
      <c r="P13" s="125">
        <f>O13/O$36</f>
        <v>1.3862563935719295E-2</v>
      </c>
    </row>
    <row r="14" spans="1:16" hidden="1" x14ac:dyDescent="0.2">
      <c r="A14" s="115"/>
      <c r="B14" s="30"/>
      <c r="C14" s="6"/>
      <c r="D14" s="6"/>
      <c r="E14" s="151"/>
      <c r="F14" s="31"/>
      <c r="G14" s="41"/>
      <c r="H14" s="42"/>
      <c r="I14" s="42"/>
      <c r="J14" s="161"/>
      <c r="K14" s="44"/>
      <c r="L14" s="76"/>
      <c r="M14" s="123"/>
      <c r="N14" s="123"/>
      <c r="O14" s="168"/>
      <c r="P14" s="125"/>
    </row>
    <row r="15" spans="1:16" hidden="1" x14ac:dyDescent="0.2">
      <c r="A15" s="115"/>
      <c r="B15" s="30"/>
      <c r="C15" s="6"/>
      <c r="D15" s="6"/>
      <c r="E15" s="151"/>
      <c r="F15" s="31"/>
      <c r="G15" s="41"/>
      <c r="H15" s="42"/>
      <c r="I15" s="42"/>
      <c r="J15" s="161"/>
      <c r="K15" s="44"/>
      <c r="L15" s="76"/>
      <c r="M15" s="123"/>
      <c r="N15" s="123"/>
      <c r="O15" s="168"/>
      <c r="P15" s="125"/>
    </row>
    <row r="16" spans="1:16" hidden="1" x14ac:dyDescent="0.2">
      <c r="A16" s="115"/>
      <c r="B16" s="30"/>
      <c r="C16" s="6"/>
      <c r="D16" s="6"/>
      <c r="E16" s="151"/>
      <c r="F16" s="31"/>
      <c r="G16" s="41"/>
      <c r="H16" s="42"/>
      <c r="I16" s="42"/>
      <c r="J16" s="161"/>
      <c r="K16" s="44"/>
      <c r="L16" s="76"/>
      <c r="M16" s="123"/>
      <c r="N16" s="123"/>
      <c r="O16" s="168"/>
      <c r="P16" s="125"/>
    </row>
    <row r="17" spans="2:16" ht="12.75" hidden="1" customHeight="1" x14ac:dyDescent="0.2">
      <c r="B17" s="30"/>
      <c r="C17" s="6"/>
      <c r="D17" s="6"/>
      <c r="E17" s="151"/>
      <c r="F17" s="31"/>
      <c r="G17" s="41"/>
      <c r="H17" s="42"/>
      <c r="I17" s="42"/>
      <c r="J17" s="161"/>
      <c r="K17" s="44"/>
      <c r="L17" s="76"/>
      <c r="M17" s="123"/>
      <c r="N17" s="123"/>
      <c r="O17" s="168"/>
      <c r="P17" s="125"/>
    </row>
    <row r="18" spans="2:16" ht="12.75" hidden="1" customHeight="1" x14ac:dyDescent="0.2">
      <c r="B18" s="30"/>
      <c r="C18" s="6"/>
      <c r="D18" s="6"/>
      <c r="E18" s="151"/>
      <c r="F18" s="31"/>
      <c r="G18" s="41"/>
      <c r="H18" s="42"/>
      <c r="I18" s="42"/>
      <c r="J18" s="161"/>
      <c r="K18" s="44"/>
      <c r="L18" s="76"/>
      <c r="M18" s="123"/>
      <c r="N18" s="123"/>
      <c r="O18" s="168"/>
      <c r="P18" s="125"/>
    </row>
    <row r="19" spans="2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2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2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2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2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2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2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2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2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2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2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2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2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2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0">SUM(C$12:C$35)</f>
        <v>4004037</v>
      </c>
      <c r="D36" s="7">
        <f t="shared" si="0"/>
        <v>868818</v>
      </c>
      <c r="E36" s="152">
        <f t="shared" si="0"/>
        <v>822094.46899999992</v>
      </c>
      <c r="F36" s="64">
        <f>SUM(F$12:F$35)</f>
        <v>1</v>
      </c>
      <c r="G36" s="45">
        <f t="shared" ref="G36:J36" si="1">SUM(G$12:G$35)</f>
        <v>1905</v>
      </c>
      <c r="H36" s="65">
        <f t="shared" si="1"/>
        <v>3932748</v>
      </c>
      <c r="I36" s="65">
        <f t="shared" si="1"/>
        <v>943332</v>
      </c>
      <c r="J36" s="162">
        <f t="shared" si="1"/>
        <v>730192.74699999997</v>
      </c>
      <c r="K36" s="66">
        <f t="shared" ref="K36:O36" si="2">SUM(K$12:K$35)</f>
        <v>1</v>
      </c>
      <c r="L36" s="77">
        <f t="shared" si="2"/>
        <v>1862</v>
      </c>
      <c r="M36" s="126">
        <f t="shared" si="2"/>
        <v>3700498</v>
      </c>
      <c r="N36" s="126">
        <f t="shared" si="2"/>
        <v>910945</v>
      </c>
      <c r="O36" s="169">
        <f t="shared" si="2"/>
        <v>672894.26604300016</v>
      </c>
      <c r="P36" s="128">
        <f>SUM(P$12:P$35)</f>
        <v>0.99999999999999989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institutions de prévoyance sans garantie étatique</v>
      </c>
    </row>
    <row r="52" spans="1:16" x14ac:dyDescent="0.2">
      <c r="A52" s="115" t="str">
        <f>$A$12</f>
        <v>Prestations obligatoires (y compris IP enveloppantes)</v>
      </c>
      <c r="B52" s="33">
        <v>1489</v>
      </c>
      <c r="C52" s="8">
        <v>3552201</v>
      </c>
      <c r="D52" s="8">
        <v>703821</v>
      </c>
      <c r="E52" s="153">
        <v>700914.80799999996</v>
      </c>
      <c r="F52" s="34">
        <f>E52/E$76</f>
        <v>0.97824817964721056</v>
      </c>
      <c r="G52" s="47">
        <v>1532</v>
      </c>
      <c r="H52" s="48">
        <v>3465472</v>
      </c>
      <c r="I52" s="48">
        <v>770938</v>
      </c>
      <c r="J52" s="163">
        <v>612317.37399999995</v>
      </c>
      <c r="K52" s="50">
        <f>J52/J$76</f>
        <v>0.97946777707871713</v>
      </c>
      <c r="L52" s="129"/>
      <c r="M52" s="130"/>
      <c r="N52" s="130"/>
      <c r="O52" s="170"/>
      <c r="P52" s="132"/>
    </row>
    <row r="53" spans="1:16" x14ac:dyDescent="0.2">
      <c r="A53" s="115" t="str">
        <f>$A$13</f>
        <v>Prestations surobligatoires uniquement</v>
      </c>
      <c r="B53" s="33">
        <v>313</v>
      </c>
      <c r="C53" s="8">
        <v>112456</v>
      </c>
      <c r="D53" s="8">
        <v>11085</v>
      </c>
      <c r="E53" s="153">
        <v>15585.179</v>
      </c>
      <c r="F53" s="34">
        <f>E53/E$76</f>
        <v>2.1751820352789483E-2</v>
      </c>
      <c r="G53" s="47">
        <v>315</v>
      </c>
      <c r="H53" s="48">
        <v>109160</v>
      </c>
      <c r="I53" s="48">
        <v>12689</v>
      </c>
      <c r="J53" s="163">
        <v>12835.784</v>
      </c>
      <c r="K53" s="50">
        <f>J53/J$76</f>
        <v>2.0532222921282917E-2</v>
      </c>
      <c r="L53" s="129"/>
      <c r="M53" s="130"/>
      <c r="N53" s="130"/>
      <c r="O53" s="170"/>
      <c r="P53" s="132"/>
    </row>
    <row r="54" spans="1:16" hidden="1" x14ac:dyDescent="0.2">
      <c r="A54" s="115">
        <f>$A$14</f>
        <v>0</v>
      </c>
      <c r="B54" s="33"/>
      <c r="C54" s="8"/>
      <c r="D54" s="8"/>
      <c r="E54" s="153"/>
      <c r="F54" s="34"/>
      <c r="G54" s="47"/>
      <c r="H54" s="48"/>
      <c r="I54" s="48"/>
      <c r="J54" s="163"/>
      <c r="K54" s="50"/>
      <c r="L54" s="129"/>
      <c r="M54" s="130"/>
      <c r="N54" s="130"/>
      <c r="O54" s="170"/>
      <c r="P54" s="132"/>
    </row>
    <row r="55" spans="1:16" hidden="1" x14ac:dyDescent="0.2">
      <c r="A55" s="115">
        <f>$A$15</f>
        <v>0</v>
      </c>
      <c r="B55" s="33"/>
      <c r="C55" s="8"/>
      <c r="D55" s="8"/>
      <c r="E55" s="153"/>
      <c r="F55" s="34"/>
      <c r="G55" s="47"/>
      <c r="H55" s="48"/>
      <c r="I55" s="48"/>
      <c r="J55" s="163"/>
      <c r="K55" s="50"/>
      <c r="L55" s="129"/>
      <c r="M55" s="130"/>
      <c r="N55" s="130"/>
      <c r="O55" s="170"/>
      <c r="P55" s="132"/>
    </row>
    <row r="56" spans="1:16" hidden="1" x14ac:dyDescent="0.2">
      <c r="A56" s="115">
        <f>$A$16</f>
        <v>0</v>
      </c>
      <c r="B56" s="33"/>
      <c r="C56" s="8"/>
      <c r="D56" s="8"/>
      <c r="E56" s="153"/>
      <c r="F56" s="34"/>
      <c r="G56" s="47"/>
      <c r="H56" s="48"/>
      <c r="I56" s="48"/>
      <c r="J56" s="163"/>
      <c r="K56" s="50"/>
      <c r="L56" s="129"/>
      <c r="M56" s="130"/>
      <c r="N56" s="130"/>
      <c r="O56" s="170"/>
      <c r="P56" s="132"/>
    </row>
    <row r="57" spans="1:16" ht="12.75" hidden="1" customHeight="1" x14ac:dyDescent="0.2">
      <c r="A57" s="115">
        <f>$A$17</f>
        <v>0</v>
      </c>
      <c r="B57" s="33"/>
      <c r="C57" s="8"/>
      <c r="D57" s="8"/>
      <c r="E57" s="153"/>
      <c r="F57" s="34"/>
      <c r="G57" s="47"/>
      <c r="H57" s="48"/>
      <c r="I57" s="48"/>
      <c r="J57" s="163"/>
      <c r="K57" s="50"/>
      <c r="L57" s="129"/>
      <c r="M57" s="130"/>
      <c r="N57" s="130"/>
      <c r="O57" s="170"/>
      <c r="P57" s="132"/>
    </row>
    <row r="58" spans="1:16" ht="12.75" hidden="1" customHeight="1" x14ac:dyDescent="0.2">
      <c r="A58" s="115">
        <f>$A$18</f>
        <v>0</v>
      </c>
      <c r="B58" s="33"/>
      <c r="C58" s="8"/>
      <c r="D58" s="8"/>
      <c r="E58" s="153"/>
      <c r="F58" s="34"/>
      <c r="G58" s="47"/>
      <c r="H58" s="48"/>
      <c r="I58" s="48"/>
      <c r="J58" s="163"/>
      <c r="K58" s="50"/>
      <c r="L58" s="129"/>
      <c r="M58" s="130"/>
      <c r="N58" s="130"/>
      <c r="O58" s="170"/>
      <c r="P58" s="132"/>
    </row>
    <row r="59" spans="1:16" ht="12.75" hidden="1" customHeight="1" x14ac:dyDescent="0.2">
      <c r="A59" s="115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5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5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5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5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5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5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716499.98699999996</v>
      </c>
      <c r="F76" s="67">
        <f t="shared" ref="F76:J76" si="3">SUM(F$52:F$75)</f>
        <v>1</v>
      </c>
      <c r="G76" s="51">
        <f t="shared" si="3"/>
        <v>1847</v>
      </c>
      <c r="H76" s="68">
        <f t="shared" si="3"/>
        <v>3574632</v>
      </c>
      <c r="I76" s="68">
        <f t="shared" si="3"/>
        <v>783627</v>
      </c>
      <c r="J76" s="164">
        <f t="shared" si="3"/>
        <v>625153.15799999994</v>
      </c>
      <c r="K76" s="69">
        <f t="shared" ref="K76" si="4">SUM(K$52:K$75)</f>
        <v>1</v>
      </c>
      <c r="L76" s="133"/>
      <c r="M76" s="134"/>
      <c r="N76" s="134"/>
      <c r="O76" s="171"/>
      <c r="P76" s="136"/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institutions de prévoyance avec garantie étatique</v>
      </c>
    </row>
    <row r="92" spans="1:16" x14ac:dyDescent="0.2">
      <c r="A92" s="115" t="str">
        <f>$A$12</f>
        <v>Prestations obligatoires (y compris IP enveloppantes)</v>
      </c>
      <c r="B92" s="36">
        <v>42</v>
      </c>
      <c r="C92" s="10">
        <v>338990</v>
      </c>
      <c r="D92" s="10">
        <v>153804</v>
      </c>
      <c r="E92" s="155">
        <v>105567.478</v>
      </c>
      <c r="F92" s="37">
        <f>E92/E$116</f>
        <v>0.99974426694000917</v>
      </c>
      <c r="G92" s="53">
        <v>56</v>
      </c>
      <c r="H92" s="54">
        <v>357661</v>
      </c>
      <c r="I92" s="54">
        <v>159583</v>
      </c>
      <c r="J92" s="165">
        <v>105033.955</v>
      </c>
      <c r="K92" s="56">
        <f>J92/J$116</f>
        <v>0.99994636308030482</v>
      </c>
      <c r="L92" s="137"/>
      <c r="M92" s="138"/>
      <c r="N92" s="138"/>
      <c r="O92" s="172"/>
      <c r="P92" s="140"/>
    </row>
    <row r="93" spans="1:16" x14ac:dyDescent="0.2">
      <c r="A93" s="115" t="str">
        <f>$A$13</f>
        <v>Prestations surobligatoires uniquement</v>
      </c>
      <c r="B93" s="36">
        <v>1</v>
      </c>
      <c r="C93" s="10">
        <v>390</v>
      </c>
      <c r="D93" s="10">
        <v>108</v>
      </c>
      <c r="E93" s="155">
        <v>27.004000000000001</v>
      </c>
      <c r="F93" s="37">
        <f>E93/E$116</f>
        <v>2.557330599907673E-4</v>
      </c>
      <c r="G93" s="53">
        <v>2</v>
      </c>
      <c r="H93" s="54">
        <v>455</v>
      </c>
      <c r="I93" s="54">
        <v>122</v>
      </c>
      <c r="J93" s="165">
        <v>5.6340000000000003</v>
      </c>
      <c r="K93" s="56">
        <f>J93/J$116</f>
        <v>5.3636919695106577E-5</v>
      </c>
      <c r="L93" s="137"/>
      <c r="M93" s="138"/>
      <c r="N93" s="138"/>
      <c r="O93" s="172"/>
      <c r="P93" s="140"/>
    </row>
    <row r="94" spans="1:16" hidden="1" x14ac:dyDescent="0.2">
      <c r="A94" s="115">
        <f>$A$14</f>
        <v>0</v>
      </c>
      <c r="B94" s="36"/>
      <c r="C94" s="10"/>
      <c r="D94" s="10"/>
      <c r="E94" s="155"/>
      <c r="F94" s="37"/>
      <c r="G94" s="53"/>
      <c r="H94" s="54"/>
      <c r="I94" s="54"/>
      <c r="J94" s="165"/>
      <c r="K94" s="56"/>
      <c r="L94" s="137"/>
      <c r="M94" s="138"/>
      <c r="N94" s="138"/>
      <c r="O94" s="172"/>
      <c r="P94" s="140"/>
    </row>
    <row r="95" spans="1:16" hidden="1" x14ac:dyDescent="0.2">
      <c r="A95" s="115">
        <f>$A$15</f>
        <v>0</v>
      </c>
      <c r="B95" s="36"/>
      <c r="C95" s="10"/>
      <c r="D95" s="10"/>
      <c r="E95" s="155"/>
      <c r="F95" s="37"/>
      <c r="G95" s="53"/>
      <c r="H95" s="54"/>
      <c r="I95" s="54"/>
      <c r="J95" s="165"/>
      <c r="K95" s="56"/>
      <c r="L95" s="137"/>
      <c r="M95" s="138"/>
      <c r="N95" s="138"/>
      <c r="O95" s="172"/>
      <c r="P95" s="140"/>
    </row>
    <row r="96" spans="1:16" hidden="1" x14ac:dyDescent="0.2">
      <c r="A96" s="115">
        <f>$A$16</f>
        <v>0</v>
      </c>
      <c r="B96" s="36"/>
      <c r="C96" s="10"/>
      <c r="D96" s="10"/>
      <c r="E96" s="155"/>
      <c r="F96" s="37"/>
      <c r="G96" s="53"/>
      <c r="H96" s="54"/>
      <c r="I96" s="54"/>
      <c r="J96" s="165"/>
      <c r="K96" s="56"/>
      <c r="L96" s="137"/>
      <c r="M96" s="138"/>
      <c r="N96" s="138"/>
      <c r="O96" s="172"/>
      <c r="P96" s="140"/>
    </row>
    <row r="97" spans="1:16" ht="12.75" hidden="1" customHeight="1" x14ac:dyDescent="0.2">
      <c r="A97" s="115">
        <f>$A$17</f>
        <v>0</v>
      </c>
      <c r="B97" s="36"/>
      <c r="C97" s="10"/>
      <c r="D97" s="10"/>
      <c r="E97" s="155"/>
      <c r="F97" s="37"/>
      <c r="G97" s="53"/>
      <c r="H97" s="54"/>
      <c r="I97" s="54"/>
      <c r="J97" s="165"/>
      <c r="K97" s="56"/>
      <c r="L97" s="137"/>
      <c r="M97" s="138"/>
      <c r="N97" s="138"/>
      <c r="O97" s="172"/>
      <c r="P97" s="140"/>
    </row>
    <row r="98" spans="1:16" ht="12.75" hidden="1" customHeight="1" x14ac:dyDescent="0.2">
      <c r="A98" s="115">
        <f>$A$18</f>
        <v>0</v>
      </c>
      <c r="B98" s="36"/>
      <c r="C98" s="10"/>
      <c r="D98" s="10"/>
      <c r="E98" s="155"/>
      <c r="F98" s="37"/>
      <c r="G98" s="53"/>
      <c r="H98" s="54"/>
      <c r="I98" s="54"/>
      <c r="J98" s="165"/>
      <c r="K98" s="56"/>
      <c r="L98" s="137"/>
      <c r="M98" s="138"/>
      <c r="N98" s="138"/>
      <c r="O98" s="172"/>
      <c r="P98" s="140"/>
    </row>
    <row r="99" spans="1:16" ht="12.75" hidden="1" customHeight="1" x14ac:dyDescent="0.2">
      <c r="A99" s="115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:J116" si="5">SUM(F$92:F$115)</f>
        <v>0.99999999999999989</v>
      </c>
      <c r="G116" s="57">
        <f t="shared" si="5"/>
        <v>58</v>
      </c>
      <c r="H116" s="71">
        <f t="shared" si="5"/>
        <v>358116</v>
      </c>
      <c r="I116" s="71">
        <f t="shared" si="5"/>
        <v>159705</v>
      </c>
      <c r="J116" s="166">
        <f t="shared" si="5"/>
        <v>105039.58900000001</v>
      </c>
      <c r="K116" s="72">
        <f t="shared" ref="K116" si="6">SUM(K$92:K$115)</f>
        <v>0.99999999999999989</v>
      </c>
      <c r="L116" s="141"/>
      <c r="M116" s="142"/>
      <c r="N116" s="142"/>
      <c r="O116" s="173"/>
      <c r="P116" s="144"/>
    </row>
    <row r="120" spans="1:16" x14ac:dyDescent="0.2">
      <c r="A120" s="111" t="str">
        <f>Translation!$A$36</f>
        <v>somme du bilan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1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Translation!$A$403</f>
        <v>Forme administrative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retour à la vue d'ensemble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/>
      <c r="B4" s="28" t="str">
        <f>Translation!$A$40</f>
        <v>Nombre d'IP</v>
      </c>
      <c r="C4" s="19" t="str">
        <f>Translation!$A$41</f>
        <v>Nombre d'assurés actifs</v>
      </c>
      <c r="D4" s="19" t="str">
        <f>Translation!$A$42</f>
        <v>Nombre de rentiers</v>
      </c>
      <c r="E4" s="149" t="str">
        <f>Translation!$A$43</f>
        <v>Somme du bilan</v>
      </c>
      <c r="F4" s="29" t="str">
        <f>Translation!$A$46</f>
        <v>Part de la somme du bilan</v>
      </c>
      <c r="G4" s="28" t="str">
        <f>Translation!$A$40</f>
        <v>Nombre d'IP</v>
      </c>
      <c r="H4" s="19" t="str">
        <f>Translation!$A$41</f>
        <v>Nombre d'assurés actifs</v>
      </c>
      <c r="I4" s="19" t="str">
        <f>Translation!$A$42</f>
        <v>Nombre de rentiers</v>
      </c>
      <c r="J4" s="149" t="str">
        <f>Translation!$A$43</f>
        <v>Somme du bilan</v>
      </c>
      <c r="K4" s="29" t="str">
        <f>Translation!$A$46</f>
        <v>Part de la somme du bilan</v>
      </c>
      <c r="L4" s="28" t="str">
        <f>Translation!$A$40</f>
        <v>Nombre d'IP</v>
      </c>
      <c r="M4" s="73" t="str">
        <f>Translation!$A$41</f>
        <v>Nombre d'assurés actifs</v>
      </c>
      <c r="N4" s="73" t="str">
        <f>Translation!$A$42</f>
        <v>Nombre de rentiers</v>
      </c>
      <c r="O4" s="149" t="str">
        <f>Translation!$A$43</f>
        <v>Somme du bilan</v>
      </c>
      <c r="P4" s="29" t="str">
        <f>Translation!$A$46</f>
        <v>Part de la somme du bilan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toutes les institutions de prévoyance</v>
      </c>
    </row>
    <row r="12" spans="1:16" x14ac:dyDescent="0.2">
      <c r="A12" s="119" t="str">
        <f>Translation!$A404</f>
        <v>Institution de prévoyance d’un seul employeur</v>
      </c>
      <c r="B12" s="30">
        <v>818</v>
      </c>
      <c r="C12" s="6">
        <v>265689</v>
      </c>
      <c r="D12" s="6">
        <v>88619</v>
      </c>
      <c r="E12" s="151">
        <v>92401.36</v>
      </c>
      <c r="F12" s="31">
        <f t="shared" ref="F12:F17" si="0">E12/E$36</f>
        <v>0.11239749625416832</v>
      </c>
      <c r="G12" s="41">
        <v>876</v>
      </c>
      <c r="H12" s="42">
        <v>271768</v>
      </c>
      <c r="I12" s="42">
        <v>91834</v>
      </c>
      <c r="J12" s="161">
        <v>87391.888000000006</v>
      </c>
      <c r="K12" s="44">
        <f t="shared" ref="K12:K17" si="1">J12/J$36</f>
        <v>0.11968331424688886</v>
      </c>
      <c r="L12" s="76">
        <v>893</v>
      </c>
      <c r="M12" s="123">
        <v>265704</v>
      </c>
      <c r="N12" s="123">
        <v>90563</v>
      </c>
      <c r="O12" s="168">
        <v>79713.231690000001</v>
      </c>
      <c r="P12" s="125">
        <f t="shared" ref="P12:P17" si="2">O12/O$36</f>
        <v>0.11846323518070533</v>
      </c>
    </row>
    <row r="13" spans="1:16" x14ac:dyDescent="0.2">
      <c r="A13" s="119" t="str">
        <f>Translation!$A405</f>
        <v>Institution de prévoyance d’un groupe</v>
      </c>
      <c r="B13" s="30">
        <v>561</v>
      </c>
      <c r="C13" s="6">
        <v>626349</v>
      </c>
      <c r="D13" s="6">
        <v>267793</v>
      </c>
      <c r="E13" s="151">
        <v>241305.18100000001</v>
      </c>
      <c r="F13" s="31">
        <f t="shared" si="0"/>
        <v>0.29352488077620187</v>
      </c>
      <c r="G13" s="41">
        <v>556</v>
      </c>
      <c r="H13" s="42">
        <v>614435</v>
      </c>
      <c r="I13" s="42">
        <v>264590</v>
      </c>
      <c r="J13" s="161">
        <v>224220.62</v>
      </c>
      <c r="K13" s="44">
        <f t="shared" si="1"/>
        <v>0.30707045628871471</v>
      </c>
      <c r="L13" s="76">
        <v>508</v>
      </c>
      <c r="M13" s="123">
        <v>576214</v>
      </c>
      <c r="N13" s="123">
        <v>256383.99999999997</v>
      </c>
      <c r="O13" s="168">
        <v>206151.05121499998</v>
      </c>
      <c r="P13" s="125">
        <f t="shared" si="2"/>
        <v>0.30636470188293496</v>
      </c>
    </row>
    <row r="14" spans="1:16" x14ac:dyDescent="0.2">
      <c r="A14" s="119" t="str">
        <f>Translation!$A406</f>
        <v>Autre regroupement de plusieurs employeurs</v>
      </c>
      <c r="B14" s="30">
        <v>164</v>
      </c>
      <c r="C14" s="6">
        <v>90805</v>
      </c>
      <c r="D14" s="6">
        <v>30789</v>
      </c>
      <c r="E14" s="151">
        <v>26761.473999999998</v>
      </c>
      <c r="F14" s="31">
        <f t="shared" si="0"/>
        <v>3.2552796557009794E-2</v>
      </c>
      <c r="G14" s="41">
        <v>171</v>
      </c>
      <c r="H14" s="42">
        <v>96363</v>
      </c>
      <c r="I14" s="42">
        <v>31639</v>
      </c>
      <c r="J14" s="161">
        <v>29647.516</v>
      </c>
      <c r="K14" s="44">
        <f t="shared" si="1"/>
        <v>4.0602315103521566E-2</v>
      </c>
      <c r="L14" s="76">
        <v>171</v>
      </c>
      <c r="M14" s="123">
        <v>95414</v>
      </c>
      <c r="N14" s="123">
        <v>28895</v>
      </c>
      <c r="O14" s="168">
        <v>23541.247560999996</v>
      </c>
      <c r="P14" s="125">
        <f t="shared" si="2"/>
        <v>3.4985061916838568E-2</v>
      </c>
    </row>
    <row r="15" spans="1:16" x14ac:dyDescent="0.2">
      <c r="A15" s="119" t="str">
        <f>Translation!$A407</f>
        <v>Institution commune</v>
      </c>
      <c r="B15" s="30">
        <v>123</v>
      </c>
      <c r="C15" s="6">
        <v>1071631</v>
      </c>
      <c r="D15" s="6">
        <v>238173</v>
      </c>
      <c r="E15" s="151">
        <v>194330.255</v>
      </c>
      <c r="F15" s="31">
        <f t="shared" si="0"/>
        <v>0.23638433577637899</v>
      </c>
      <c r="G15" s="41">
        <v>123</v>
      </c>
      <c r="H15" s="42">
        <v>1049827</v>
      </c>
      <c r="I15" s="42">
        <v>229189</v>
      </c>
      <c r="J15" s="161">
        <v>178237.66800000001</v>
      </c>
      <c r="K15" s="44">
        <f t="shared" si="1"/>
        <v>0.24409673847390326</v>
      </c>
      <c r="L15" s="76">
        <v>120</v>
      </c>
      <c r="M15" s="123">
        <v>951519</v>
      </c>
      <c r="N15" s="123">
        <v>217356</v>
      </c>
      <c r="O15" s="168">
        <v>142485.581309</v>
      </c>
      <c r="P15" s="125">
        <f t="shared" si="2"/>
        <v>0.21175032765087456</v>
      </c>
    </row>
    <row r="16" spans="1:16" x14ac:dyDescent="0.2">
      <c r="A16" s="119" t="str">
        <f>Translation!$A408</f>
        <v>Institution collective</v>
      </c>
      <c r="B16" s="30">
        <v>130</v>
      </c>
      <c r="C16" s="6">
        <v>1549450</v>
      </c>
      <c r="D16" s="6">
        <v>58825</v>
      </c>
      <c r="E16" s="151">
        <v>126267.353</v>
      </c>
      <c r="F16" s="31">
        <f t="shared" si="0"/>
        <v>0.15359226677877089</v>
      </c>
      <c r="G16" s="41">
        <v>124</v>
      </c>
      <c r="H16" s="42">
        <v>1507488</v>
      </c>
      <c r="I16" s="42">
        <v>142795</v>
      </c>
      <c r="J16" s="161">
        <v>78871.588000000003</v>
      </c>
      <c r="K16" s="44">
        <f t="shared" si="1"/>
        <v>0.10801475134345591</v>
      </c>
      <c r="L16" s="76">
        <v>120</v>
      </c>
      <c r="M16" s="123">
        <v>1437182</v>
      </c>
      <c r="N16" s="123">
        <v>149813</v>
      </c>
      <c r="O16" s="168">
        <v>101331.88326799999</v>
      </c>
      <c r="P16" s="125">
        <f t="shared" si="2"/>
        <v>0.15059109340296353</v>
      </c>
    </row>
    <row r="17" spans="1:16" ht="25.5" x14ac:dyDescent="0.2">
      <c r="A17" s="120" t="str">
        <f>Translation!$A409</f>
        <v>Institution collective ou commune d'employeurs de droit public</v>
      </c>
      <c r="B17" s="30">
        <v>49</v>
      </c>
      <c r="C17" s="6">
        <v>400113</v>
      </c>
      <c r="D17" s="6">
        <v>184619</v>
      </c>
      <c r="E17" s="151">
        <v>141028.84599999999</v>
      </c>
      <c r="F17" s="31">
        <f t="shared" si="0"/>
        <v>0.17154822385747007</v>
      </c>
      <c r="G17" s="41">
        <v>55</v>
      </c>
      <c r="H17" s="42">
        <v>392867</v>
      </c>
      <c r="I17" s="42">
        <v>183285</v>
      </c>
      <c r="J17" s="161">
        <v>131823.467</v>
      </c>
      <c r="K17" s="44">
        <f t="shared" si="1"/>
        <v>0.18053242454351578</v>
      </c>
      <c r="L17" s="76">
        <v>50</v>
      </c>
      <c r="M17" s="123">
        <v>374465</v>
      </c>
      <c r="N17" s="123">
        <v>167934</v>
      </c>
      <c r="O17" s="168">
        <v>119671.27100000001</v>
      </c>
      <c r="P17" s="125">
        <f t="shared" si="2"/>
        <v>0.17784557996568315</v>
      </c>
    </row>
    <row r="18" spans="1:16" ht="12.75" hidden="1" customHeight="1" x14ac:dyDescent="0.2">
      <c r="A18" s="120"/>
      <c r="B18" s="30"/>
      <c r="C18" s="6"/>
      <c r="D18" s="6"/>
      <c r="E18" s="151"/>
      <c r="F18" s="31"/>
      <c r="G18" s="41"/>
      <c r="H18" s="42"/>
      <c r="I18" s="42"/>
      <c r="J18" s="161"/>
      <c r="K18" s="44"/>
      <c r="L18" s="76"/>
      <c r="M18" s="123"/>
      <c r="N18" s="123"/>
      <c r="O18" s="168"/>
      <c r="P18" s="125"/>
    </row>
    <row r="19" spans="1:16" ht="12.75" hidden="1" customHeight="1" x14ac:dyDescent="0.2">
      <c r="A19" s="120"/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1:16" ht="12.75" hidden="1" customHeight="1" x14ac:dyDescent="0.2">
      <c r="A20" s="120"/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1:16" ht="12.75" hidden="1" customHeight="1" x14ac:dyDescent="0.2">
      <c r="A21" s="120"/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1:16" ht="12.75" hidden="1" customHeight="1" x14ac:dyDescent="0.2">
      <c r="A22" s="120"/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1:16" ht="12.75" hidden="1" customHeight="1" x14ac:dyDescent="0.2">
      <c r="A23" s="120"/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1:16" ht="12.75" hidden="1" customHeight="1" x14ac:dyDescent="0.2">
      <c r="A24" s="120"/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1:16" ht="12.75" hidden="1" customHeight="1" x14ac:dyDescent="0.2">
      <c r="A25" s="120"/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1:16" ht="12.75" hidden="1" customHeight="1" x14ac:dyDescent="0.2">
      <c r="A26" s="120"/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1:16" ht="12.75" hidden="1" customHeight="1" x14ac:dyDescent="0.2">
      <c r="A27" s="120"/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1:16" ht="12.75" hidden="1" customHeight="1" x14ac:dyDescent="0.2">
      <c r="A28" s="120"/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1:16" ht="12.75" hidden="1" customHeight="1" x14ac:dyDescent="0.2">
      <c r="A29" s="120"/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1:16" ht="12.75" hidden="1" customHeight="1" x14ac:dyDescent="0.2">
      <c r="A30" s="120"/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1:16" ht="12.75" hidden="1" customHeight="1" x14ac:dyDescent="0.2">
      <c r="A31" s="120"/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1:16" ht="12.75" hidden="1" customHeight="1" x14ac:dyDescent="0.2">
      <c r="A32" s="120"/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A33" s="120"/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A34" s="120"/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A35" s="120"/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3">SUM(C$12:C$35)</f>
        <v>4004037</v>
      </c>
      <c r="D36" s="7">
        <f t="shared" si="3"/>
        <v>868818</v>
      </c>
      <c r="E36" s="152">
        <f t="shared" si="3"/>
        <v>822094.46900000004</v>
      </c>
      <c r="F36" s="64">
        <f>SUM(F$12:F$35)</f>
        <v>0.99999999999999989</v>
      </c>
      <c r="G36" s="45">
        <f t="shared" ref="G36:J36" si="4">SUM(G$12:G$35)</f>
        <v>1905</v>
      </c>
      <c r="H36" s="65">
        <f t="shared" si="4"/>
        <v>3932748</v>
      </c>
      <c r="I36" s="65">
        <f t="shared" si="4"/>
        <v>943332</v>
      </c>
      <c r="J36" s="162">
        <f t="shared" si="4"/>
        <v>730192.74699999997</v>
      </c>
      <c r="K36" s="66">
        <f t="shared" ref="K36:O36" si="5">SUM(K$12:K$35)</f>
        <v>1.0000000000000002</v>
      </c>
      <c r="L36" s="77">
        <f t="shared" si="5"/>
        <v>1862</v>
      </c>
      <c r="M36" s="126">
        <f t="shared" si="5"/>
        <v>3700498</v>
      </c>
      <c r="N36" s="126">
        <f t="shared" si="5"/>
        <v>910945</v>
      </c>
      <c r="O36" s="169">
        <f t="shared" si="5"/>
        <v>672894.26604299992</v>
      </c>
      <c r="P36" s="128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institutions de prévoyance sans garantie étatique</v>
      </c>
    </row>
    <row r="52" spans="1:16" x14ac:dyDescent="0.2">
      <c r="A52" s="119" t="str">
        <f>$A$12</f>
        <v>Institution de prévoyance d’un seul employeur</v>
      </c>
      <c r="B52" s="33">
        <v>809</v>
      </c>
      <c r="C52" s="8">
        <v>237227</v>
      </c>
      <c r="D52" s="8">
        <v>74962</v>
      </c>
      <c r="E52" s="153">
        <v>83573.100999999995</v>
      </c>
      <c r="F52" s="34">
        <f t="shared" ref="F52:F57" si="6">E52/E$76</f>
        <v>0.11664075717561735</v>
      </c>
      <c r="G52" s="47">
        <v>861</v>
      </c>
      <c r="H52" s="48">
        <v>239345</v>
      </c>
      <c r="I52" s="48">
        <v>76994</v>
      </c>
      <c r="J52" s="163">
        <v>78068.342000000004</v>
      </c>
      <c r="K52" s="50">
        <f t="shared" ref="K52:K57" si="7">J52/J$76</f>
        <v>0.12487874531380036</v>
      </c>
      <c r="L52" s="129"/>
      <c r="M52" s="130"/>
      <c r="N52" s="130"/>
      <c r="O52" s="170"/>
      <c r="P52" s="132"/>
    </row>
    <row r="53" spans="1:16" x14ac:dyDescent="0.2">
      <c r="A53" s="119" t="str">
        <f>$A$13</f>
        <v>Institution de prévoyance d’un groupe</v>
      </c>
      <c r="B53" s="33">
        <v>559</v>
      </c>
      <c r="C53" s="8">
        <v>622133</v>
      </c>
      <c r="D53" s="8">
        <v>265995</v>
      </c>
      <c r="E53" s="153">
        <v>240245.679</v>
      </c>
      <c r="F53" s="34">
        <f t="shared" si="6"/>
        <v>0.33530451271313139</v>
      </c>
      <c r="G53" s="47">
        <v>556</v>
      </c>
      <c r="H53" s="48">
        <v>614435</v>
      </c>
      <c r="I53" s="48">
        <v>264590</v>
      </c>
      <c r="J53" s="163">
        <v>224220.62</v>
      </c>
      <c r="K53" s="50">
        <f t="shared" si="7"/>
        <v>0.35866510011295499</v>
      </c>
      <c r="L53" s="129"/>
      <c r="M53" s="130"/>
      <c r="N53" s="130"/>
      <c r="O53" s="170"/>
      <c r="P53" s="132"/>
    </row>
    <row r="54" spans="1:16" x14ac:dyDescent="0.2">
      <c r="A54" s="119" t="str">
        <f>$A$14</f>
        <v>Autre regroupement de plusieurs employeurs</v>
      </c>
      <c r="B54" s="33">
        <v>160</v>
      </c>
      <c r="C54" s="8">
        <v>83075</v>
      </c>
      <c r="D54" s="8">
        <v>27539</v>
      </c>
      <c r="E54" s="153">
        <v>24326.433000000001</v>
      </c>
      <c r="F54" s="34">
        <f t="shared" si="6"/>
        <v>3.3951756373165151E-2</v>
      </c>
      <c r="G54" s="47">
        <v>165</v>
      </c>
      <c r="H54" s="48">
        <v>86086</v>
      </c>
      <c r="I54" s="48">
        <v>27544</v>
      </c>
      <c r="J54" s="163">
        <v>26663.003000000001</v>
      </c>
      <c r="K54" s="50">
        <f t="shared" si="7"/>
        <v>4.2650353211524522E-2</v>
      </c>
      <c r="L54" s="129"/>
      <c r="M54" s="130"/>
      <c r="N54" s="130"/>
      <c r="O54" s="170"/>
      <c r="P54" s="132"/>
    </row>
    <row r="55" spans="1:16" x14ac:dyDescent="0.2">
      <c r="A55" s="119" t="str">
        <f>$A$15</f>
        <v>Institution commune</v>
      </c>
      <c r="B55" s="33">
        <v>119</v>
      </c>
      <c r="C55" s="8">
        <v>1008703</v>
      </c>
      <c r="D55" s="8">
        <v>208894</v>
      </c>
      <c r="E55" s="153">
        <v>174247.09899999999</v>
      </c>
      <c r="F55" s="34">
        <f t="shared" si="6"/>
        <v>0.24319204767829253</v>
      </c>
      <c r="G55" s="47">
        <v>118</v>
      </c>
      <c r="H55" s="48">
        <v>980293</v>
      </c>
      <c r="I55" s="48">
        <v>197817</v>
      </c>
      <c r="J55" s="163">
        <v>157121.712</v>
      </c>
      <c r="K55" s="50">
        <f t="shared" si="7"/>
        <v>0.25133314930802925</v>
      </c>
      <c r="L55" s="129"/>
      <c r="M55" s="130"/>
      <c r="N55" s="130"/>
      <c r="O55" s="170"/>
      <c r="P55" s="132"/>
    </row>
    <row r="56" spans="1:16" x14ac:dyDescent="0.2">
      <c r="A56" s="119" t="str">
        <f>$A$16</f>
        <v>Institution collective</v>
      </c>
      <c r="B56" s="33">
        <v>130</v>
      </c>
      <c r="C56" s="8">
        <v>1549450</v>
      </c>
      <c r="D56" s="8">
        <v>58825</v>
      </c>
      <c r="E56" s="153">
        <v>126267.353</v>
      </c>
      <c r="F56" s="34">
        <f t="shared" si="6"/>
        <v>0.17622799063637665</v>
      </c>
      <c r="G56" s="47">
        <v>124</v>
      </c>
      <c r="H56" s="48">
        <v>1507488</v>
      </c>
      <c r="I56" s="48">
        <v>142795</v>
      </c>
      <c r="J56" s="163">
        <v>78871.588000000003</v>
      </c>
      <c r="K56" s="50">
        <f t="shared" si="7"/>
        <v>0.12616362405066822</v>
      </c>
      <c r="L56" s="129"/>
      <c r="M56" s="130"/>
      <c r="N56" s="130"/>
      <c r="O56" s="170"/>
      <c r="P56" s="132"/>
    </row>
    <row r="57" spans="1:16" ht="25.5" x14ac:dyDescent="0.2">
      <c r="A57" s="119" t="str">
        <f>$A$17</f>
        <v>Institution collective ou commune d'employeurs de droit public</v>
      </c>
      <c r="B57" s="33">
        <v>25</v>
      </c>
      <c r="C57" s="8">
        <v>164069</v>
      </c>
      <c r="D57" s="8">
        <v>78691</v>
      </c>
      <c r="E57" s="153">
        <v>67840.322</v>
      </c>
      <c r="F57" s="34">
        <f t="shared" si="6"/>
        <v>9.4682935423416825E-2</v>
      </c>
      <c r="G57" s="47">
        <v>23</v>
      </c>
      <c r="H57" s="48">
        <v>146985</v>
      </c>
      <c r="I57" s="48">
        <v>73887</v>
      </c>
      <c r="J57" s="163">
        <v>60207.892999999996</v>
      </c>
      <c r="K57" s="50">
        <f t="shared" si="7"/>
        <v>9.6309028003022573E-2</v>
      </c>
      <c r="L57" s="129"/>
      <c r="M57" s="130"/>
      <c r="N57" s="130"/>
      <c r="O57" s="170"/>
      <c r="P57" s="132"/>
    </row>
    <row r="58" spans="1:16" ht="12.75" hidden="1" customHeight="1" x14ac:dyDescent="0.2">
      <c r="A58" s="119">
        <f>$A$18</f>
        <v>0</v>
      </c>
      <c r="B58" s="33"/>
      <c r="C58" s="8"/>
      <c r="D58" s="8"/>
      <c r="E58" s="153"/>
      <c r="F58" s="34"/>
      <c r="G58" s="47"/>
      <c r="H58" s="48"/>
      <c r="I58" s="48"/>
      <c r="J58" s="163"/>
      <c r="K58" s="50"/>
      <c r="L58" s="129"/>
      <c r="M58" s="130"/>
      <c r="N58" s="130"/>
      <c r="O58" s="170"/>
      <c r="P58" s="132"/>
    </row>
    <row r="59" spans="1:16" ht="12.75" hidden="1" customHeight="1" x14ac:dyDescent="0.2">
      <c r="A59" s="119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9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9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9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9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9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9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9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9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9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9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9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9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9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9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9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A75" s="120"/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716499.98700000008</v>
      </c>
      <c r="F76" s="67">
        <f t="shared" ref="F76:J76" si="8">SUM(F$52:F$75)</f>
        <v>0.99999999999999978</v>
      </c>
      <c r="G76" s="51">
        <f t="shared" si="8"/>
        <v>1847</v>
      </c>
      <c r="H76" s="68">
        <f t="shared" si="8"/>
        <v>3574632</v>
      </c>
      <c r="I76" s="68">
        <f t="shared" si="8"/>
        <v>783627</v>
      </c>
      <c r="J76" s="164">
        <f t="shared" si="8"/>
        <v>625153.15800000005</v>
      </c>
      <c r="K76" s="69">
        <f t="shared" ref="K76" si="9">SUM(K$52:K$75)</f>
        <v>1</v>
      </c>
      <c r="L76" s="133"/>
      <c r="M76" s="134"/>
      <c r="N76" s="134"/>
      <c r="O76" s="171"/>
      <c r="P76" s="136"/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institutions de prévoyance avec garantie étatique</v>
      </c>
    </row>
    <row r="92" spans="1:16" x14ac:dyDescent="0.2">
      <c r="A92" s="119" t="str">
        <f>$A$12</f>
        <v>Institution de prévoyance d’un seul employeur</v>
      </c>
      <c r="B92" s="36">
        <v>9</v>
      </c>
      <c r="C92" s="10">
        <v>28462</v>
      </c>
      <c r="D92" s="10">
        <v>13657</v>
      </c>
      <c r="E92" s="155">
        <v>8828.259</v>
      </c>
      <c r="F92" s="37">
        <f t="shared" ref="F92:F97" si="10">E92/E$116</f>
        <v>8.36053061939354E-2</v>
      </c>
      <c r="G92" s="53">
        <v>15</v>
      </c>
      <c r="H92" s="54">
        <v>32423</v>
      </c>
      <c r="I92" s="54">
        <v>14840</v>
      </c>
      <c r="J92" s="165">
        <v>9323.5460000000003</v>
      </c>
      <c r="K92" s="56">
        <f t="shared" ref="K92:K97" si="11">J92/J$116</f>
        <v>8.8762209456093755E-2</v>
      </c>
      <c r="L92" s="137"/>
      <c r="M92" s="138"/>
      <c r="N92" s="138"/>
      <c r="O92" s="172"/>
      <c r="P92" s="140"/>
    </row>
    <row r="93" spans="1:16" x14ac:dyDescent="0.2">
      <c r="A93" s="119" t="str">
        <f>$A$13</f>
        <v>Institution de prévoyance d’un groupe</v>
      </c>
      <c r="B93" s="36">
        <v>2</v>
      </c>
      <c r="C93" s="10">
        <v>4216</v>
      </c>
      <c r="D93" s="10">
        <v>1798</v>
      </c>
      <c r="E93" s="155">
        <v>1059.502</v>
      </c>
      <c r="F93" s="37">
        <f t="shared" si="10"/>
        <v>1.0033687176949264E-2</v>
      </c>
      <c r="G93" s="53">
        <v>0</v>
      </c>
      <c r="H93" s="54">
        <v>0</v>
      </c>
      <c r="I93" s="54">
        <v>0</v>
      </c>
      <c r="J93" s="165">
        <v>0</v>
      </c>
      <c r="K93" s="56">
        <f t="shared" si="11"/>
        <v>0</v>
      </c>
      <c r="L93" s="137"/>
      <c r="M93" s="138"/>
      <c r="N93" s="138"/>
      <c r="O93" s="172"/>
      <c r="P93" s="140"/>
    </row>
    <row r="94" spans="1:16" x14ac:dyDescent="0.2">
      <c r="A94" s="119" t="str">
        <f>$A$14</f>
        <v>Autre regroupement de plusieurs employeurs</v>
      </c>
      <c r="B94" s="36">
        <v>4</v>
      </c>
      <c r="C94" s="10">
        <v>7730</v>
      </c>
      <c r="D94" s="10">
        <v>3250</v>
      </c>
      <c r="E94" s="155">
        <v>2435.0410000000002</v>
      </c>
      <c r="F94" s="37">
        <f t="shared" si="10"/>
        <v>2.3060305367092953E-2</v>
      </c>
      <c r="G94" s="53">
        <v>6</v>
      </c>
      <c r="H94" s="54">
        <v>10277</v>
      </c>
      <c r="I94" s="54">
        <v>4095</v>
      </c>
      <c r="J94" s="165">
        <v>2984.5129999999999</v>
      </c>
      <c r="K94" s="56">
        <f t="shared" si="11"/>
        <v>2.8413220466808949E-2</v>
      </c>
      <c r="L94" s="137"/>
      <c r="M94" s="138"/>
      <c r="N94" s="138"/>
      <c r="O94" s="172"/>
      <c r="P94" s="140"/>
    </row>
    <row r="95" spans="1:16" x14ac:dyDescent="0.2">
      <c r="A95" s="119" t="str">
        <f>$A$15</f>
        <v>Institution commune</v>
      </c>
      <c r="B95" s="36">
        <v>4</v>
      </c>
      <c r="C95" s="10">
        <v>62928</v>
      </c>
      <c r="D95" s="10">
        <v>29279</v>
      </c>
      <c r="E95" s="155">
        <v>20083.155999999999</v>
      </c>
      <c r="F95" s="37">
        <f t="shared" si="10"/>
        <v>0.19019133973307428</v>
      </c>
      <c r="G95" s="53">
        <v>5</v>
      </c>
      <c r="H95" s="54">
        <v>69534</v>
      </c>
      <c r="I95" s="54">
        <v>31372</v>
      </c>
      <c r="J95" s="165">
        <v>21115.955999999998</v>
      </c>
      <c r="K95" s="56">
        <f t="shared" si="11"/>
        <v>0.2010285474365289</v>
      </c>
      <c r="L95" s="137"/>
      <c r="M95" s="138"/>
      <c r="N95" s="138"/>
      <c r="O95" s="172"/>
      <c r="P95" s="140"/>
    </row>
    <row r="96" spans="1:16" x14ac:dyDescent="0.2">
      <c r="A96" s="119" t="str">
        <f>$A$16</f>
        <v>Institution collective</v>
      </c>
      <c r="B96" s="36">
        <v>0</v>
      </c>
      <c r="C96" s="10">
        <v>0</v>
      </c>
      <c r="D96" s="10">
        <v>0</v>
      </c>
      <c r="E96" s="155">
        <v>0</v>
      </c>
      <c r="F96" s="37">
        <f t="shared" si="10"/>
        <v>0</v>
      </c>
      <c r="G96" s="53">
        <v>0</v>
      </c>
      <c r="H96" s="54">
        <v>0</v>
      </c>
      <c r="I96" s="54">
        <v>0</v>
      </c>
      <c r="J96" s="165">
        <v>0</v>
      </c>
      <c r="K96" s="56">
        <f t="shared" si="11"/>
        <v>0</v>
      </c>
      <c r="L96" s="137"/>
      <c r="M96" s="138"/>
      <c r="N96" s="138"/>
      <c r="O96" s="172"/>
      <c r="P96" s="140"/>
    </row>
    <row r="97" spans="1:16" ht="25.5" x14ac:dyDescent="0.2">
      <c r="A97" s="119" t="str">
        <f>$A$17</f>
        <v>Institution collective ou commune d'employeurs de droit public</v>
      </c>
      <c r="B97" s="36">
        <v>24</v>
      </c>
      <c r="C97" s="10">
        <v>236044</v>
      </c>
      <c r="D97" s="10">
        <v>105928</v>
      </c>
      <c r="E97" s="155">
        <v>73188.524000000005</v>
      </c>
      <c r="F97" s="37">
        <f t="shared" si="10"/>
        <v>0.69310936152894809</v>
      </c>
      <c r="G97" s="53">
        <v>32</v>
      </c>
      <c r="H97" s="54">
        <v>245882</v>
      </c>
      <c r="I97" s="54">
        <v>109398</v>
      </c>
      <c r="J97" s="165">
        <v>71615.573999999993</v>
      </c>
      <c r="K97" s="56">
        <f t="shared" si="11"/>
        <v>0.68179602264056838</v>
      </c>
      <c r="L97" s="137"/>
      <c r="M97" s="138"/>
      <c r="N97" s="138"/>
      <c r="O97" s="172"/>
      <c r="P97" s="140"/>
    </row>
    <row r="98" spans="1:16" ht="12.75" hidden="1" customHeight="1" x14ac:dyDescent="0.2">
      <c r="A98" s="119">
        <f>$A$18</f>
        <v>0</v>
      </c>
      <c r="B98" s="36"/>
      <c r="C98" s="10"/>
      <c r="D98" s="10"/>
      <c r="E98" s="155"/>
      <c r="F98" s="37"/>
      <c r="G98" s="53"/>
      <c r="H98" s="54"/>
      <c r="I98" s="54"/>
      <c r="J98" s="165"/>
      <c r="K98" s="56"/>
      <c r="L98" s="137"/>
      <c r="M98" s="138"/>
      <c r="N98" s="138"/>
      <c r="O98" s="172"/>
      <c r="P98" s="140"/>
    </row>
    <row r="99" spans="1:16" ht="12.75" hidden="1" customHeight="1" x14ac:dyDescent="0.2">
      <c r="A99" s="119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9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9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9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9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9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9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9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9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9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9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9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9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9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9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9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A115" s="120"/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:J116" si="12">SUM(F$92:F$115)</f>
        <v>1</v>
      </c>
      <c r="G116" s="57">
        <f t="shared" si="12"/>
        <v>58</v>
      </c>
      <c r="H116" s="71">
        <f t="shared" si="12"/>
        <v>358116</v>
      </c>
      <c r="I116" s="71">
        <f t="shared" si="12"/>
        <v>159705</v>
      </c>
      <c r="J116" s="166">
        <f t="shared" si="12"/>
        <v>105039.58899999999</v>
      </c>
      <c r="K116" s="72">
        <f t="shared" ref="K116" si="13">SUM(K$92:K$115)</f>
        <v>1</v>
      </c>
      <c r="L116" s="141"/>
      <c r="M116" s="142"/>
      <c r="N116" s="142"/>
      <c r="O116" s="173"/>
      <c r="P116" s="144"/>
    </row>
    <row r="120" spans="1:16" x14ac:dyDescent="0.2">
      <c r="A120" s="111" t="str">
        <f>Translation!$A$36</f>
        <v>somme du bilan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C433"/>
  <sheetViews>
    <sheetView topLeftCell="A8" zoomScaleNormal="100" workbookViewId="0">
      <pane xSplit="1" ySplit="1" topLeftCell="B9" activePane="bottomRight" state="frozen"/>
      <selection activeCell="A8" sqref="A8"/>
      <selection pane="topRight" activeCell="B8" sqref="B8"/>
      <selection pane="bottomLeft" activeCell="A9" sqref="A9"/>
      <selection pane="bottomRight" activeCell="A8" sqref="A8"/>
    </sheetView>
  </sheetViews>
  <sheetFormatPr baseColWidth="10" defaultColWidth="8" defaultRowHeight="14.25" x14ac:dyDescent="0.2"/>
  <cols>
    <col min="1" max="1" width="88.125" style="89" customWidth="1"/>
    <col min="2" max="3" width="53.125" style="89" customWidth="1"/>
    <col min="4" max="16384" width="8" style="89"/>
  </cols>
  <sheetData>
    <row r="1" spans="1:3" x14ac:dyDescent="0.2">
      <c r="A1" s="87" t="s">
        <v>180</v>
      </c>
      <c r="B1" s="88">
        <v>1</v>
      </c>
    </row>
    <row r="2" spans="1:3" x14ac:dyDescent="0.2">
      <c r="A2" s="90" t="s">
        <v>181</v>
      </c>
      <c r="B2" s="91">
        <v>2</v>
      </c>
    </row>
    <row r="3" spans="1:3" x14ac:dyDescent="0.2">
      <c r="A3" s="92"/>
    </row>
    <row r="4" spans="1:3" x14ac:dyDescent="0.2">
      <c r="A4" s="92"/>
    </row>
    <row r="5" spans="1:3" x14ac:dyDescent="0.2">
      <c r="A5" s="93" t="s">
        <v>182</v>
      </c>
      <c r="B5" s="94">
        <v>2</v>
      </c>
    </row>
    <row r="6" spans="1:3" x14ac:dyDescent="0.2">
      <c r="A6" s="92"/>
    </row>
    <row r="7" spans="1:3" x14ac:dyDescent="0.2">
      <c r="A7" s="92"/>
    </row>
    <row r="8" spans="1:3" x14ac:dyDescent="0.2">
      <c r="A8" s="93" t="s">
        <v>183</v>
      </c>
      <c r="B8" s="93" t="str">
        <f>A1</f>
        <v>deutsch</v>
      </c>
      <c r="C8" s="93" t="str">
        <f>A2</f>
        <v>français</v>
      </c>
    </row>
    <row r="11" spans="1:3" ht="15" x14ac:dyDescent="0.25">
      <c r="A11" s="95" t="str">
        <f>VLOOKUP(B11,B11:C11,language)</f>
        <v>Enquête sur la situation financière des institutions de prévoyance 2014</v>
      </c>
      <c r="B11" s="95" t="s">
        <v>521</v>
      </c>
      <c r="C11" s="95" t="s">
        <v>522</v>
      </c>
    </row>
    <row r="12" spans="1:3" x14ac:dyDescent="0.2">
      <c r="A12" s="89" t="str">
        <f t="shared" ref="A12:A23" si="0">VLOOKUP(B12,B12:C12,language)</f>
        <v>Données exploitées concernant le rapport sur la situation financière des institutions de prévoyance 2014</v>
      </c>
      <c r="B12" s="105" t="s">
        <v>519</v>
      </c>
      <c r="C12" s="105" t="s">
        <v>520</v>
      </c>
    </row>
    <row r="13" spans="1:3" x14ac:dyDescent="0.2">
      <c r="A13" s="89" t="str">
        <f t="shared" si="0"/>
        <v>pour de plus amples informations, voir</v>
      </c>
      <c r="B13" s="105" t="s">
        <v>598</v>
      </c>
      <c r="C13" s="105" t="s">
        <v>601</v>
      </c>
    </row>
    <row r="14" spans="1:3" x14ac:dyDescent="0.2">
      <c r="A14" s="89" t="str">
        <f t="shared" si="0"/>
        <v>http://www.oak-bv.admin.ch/fr/themes/recensement-situation-financiere/index.html</v>
      </c>
      <c r="B14" s="97" t="s">
        <v>599</v>
      </c>
      <c r="C14" s="97" t="s">
        <v>600</v>
      </c>
    </row>
    <row r="15" spans="1:3" x14ac:dyDescent="0.2">
      <c r="A15" s="89" t="str">
        <f t="shared" si="0"/>
        <v>Voir http://www.oak-bv.admin.ch/fr/themes/recensement-situation-financiere/index.html</v>
      </c>
      <c r="B15" s="105" t="s">
        <v>524</v>
      </c>
      <c r="C15" s="105" t="s">
        <v>523</v>
      </c>
    </row>
    <row r="16" spans="1:3" x14ac:dyDescent="0.2">
      <c r="A16" s="89" t="str">
        <f t="shared" si="0"/>
        <v>Lien vers le questionnaire:</v>
      </c>
      <c r="B16" s="89" t="s">
        <v>214</v>
      </c>
      <c r="C16" s="96" t="s">
        <v>215</v>
      </c>
    </row>
    <row r="17" spans="1:3" x14ac:dyDescent="0.2">
      <c r="A17" s="89" t="str">
        <f t="shared" si="0"/>
        <v>Lien vers le guide:</v>
      </c>
      <c r="B17" s="89" t="s">
        <v>216</v>
      </c>
      <c r="C17" s="96" t="s">
        <v>217</v>
      </c>
    </row>
    <row r="18" spans="1:3" x14ac:dyDescent="0.2">
      <c r="A18" s="89" t="str">
        <f t="shared" si="0"/>
        <v>Lien vers les calculs:</v>
      </c>
      <c r="B18" s="89" t="s">
        <v>218</v>
      </c>
      <c r="C18" s="96" t="s">
        <v>219</v>
      </c>
    </row>
    <row r="19" spans="1:3" x14ac:dyDescent="0.2">
      <c r="A19" s="89" t="str">
        <f t="shared" si="0"/>
        <v>Lien vers le rapport:</v>
      </c>
      <c r="B19" s="89" t="s">
        <v>220</v>
      </c>
      <c r="C19" s="96" t="s">
        <v>221</v>
      </c>
    </row>
    <row r="20" spans="1:3" x14ac:dyDescent="0.2">
      <c r="A20" s="96" t="str">
        <f t="shared" si="0"/>
        <v>http://www.oak-bv.admin.ch/fileadmin/dateien/themen/Erhebung_finanzielle_Lage/Questionnaire_2013.pdf</v>
      </c>
      <c r="B20" s="89" t="s">
        <v>222</v>
      </c>
      <c r="C20" s="89" t="s">
        <v>223</v>
      </c>
    </row>
    <row r="21" spans="1:3" x14ac:dyDescent="0.2">
      <c r="A21" s="96" t="str">
        <f t="shared" si="0"/>
        <v>http://www.oak-bv.admin.ch/fileadmin/dateien/themen/Erhebung_finanzielle_Lage/Guide_2013.pdf</v>
      </c>
      <c r="B21" s="89" t="s">
        <v>224</v>
      </c>
      <c r="C21" s="89" t="s">
        <v>225</v>
      </c>
    </row>
    <row r="22" spans="1:3" x14ac:dyDescent="0.2">
      <c r="A22" s="96" t="str">
        <f t="shared" si="0"/>
        <v>http://www.oak-bv.admin.ch/fileadmin/dateien/themen/Erhebung_finanzielle_Lage/Calculs_2013.pdf</v>
      </c>
      <c r="B22" s="89" t="s">
        <v>226</v>
      </c>
      <c r="C22" s="89" t="s">
        <v>227</v>
      </c>
    </row>
    <row r="23" spans="1:3" x14ac:dyDescent="0.2">
      <c r="A23" s="96" t="str">
        <f t="shared" si="0"/>
        <v>http://www.oak-bv.admin.ch/fileadmin/dateien/Mitteilungen/Rapport_situation_financiere_2013.pdf</v>
      </c>
      <c r="B23" s="89" t="s">
        <v>228</v>
      </c>
      <c r="C23" s="89" t="s">
        <v>229</v>
      </c>
    </row>
    <row r="24" spans="1:3" x14ac:dyDescent="0.2">
      <c r="A24" s="89" t="str">
        <f>VLOOKUP(B24,B24:C24,language)</f>
        <v>Figure</v>
      </c>
      <c r="B24" s="105" t="s">
        <v>462</v>
      </c>
      <c r="C24" s="105" t="s">
        <v>465</v>
      </c>
    </row>
    <row r="25" spans="1:3" x14ac:dyDescent="0.2">
      <c r="A25" s="89" t="str">
        <f>VLOOKUP(B25,B25:C25,language)</f>
        <v>Figures</v>
      </c>
      <c r="B25" s="105" t="s">
        <v>463</v>
      </c>
      <c r="C25" s="105" t="s">
        <v>466</v>
      </c>
    </row>
    <row r="26" spans="1:3" x14ac:dyDescent="0.2">
      <c r="A26" s="89" t="str">
        <f>VLOOKUP(B26,B26:C26,language)</f>
        <v>et</v>
      </c>
      <c r="B26" s="105" t="s">
        <v>464</v>
      </c>
      <c r="C26" s="105" t="s">
        <v>467</v>
      </c>
    </row>
    <row r="27" spans="1:3" x14ac:dyDescent="0.2">
      <c r="A27" s="89" t="str">
        <f>VLOOKUP(B27,B27:C27,language)</f>
        <v>retour à la vue d'ensemble</v>
      </c>
      <c r="B27" s="105" t="s">
        <v>231</v>
      </c>
      <c r="C27" s="105" t="s">
        <v>468</v>
      </c>
    </row>
    <row r="28" spans="1:3" x14ac:dyDescent="0.2">
      <c r="A28" s="89" t="str">
        <f t="shared" ref="A28:A31" si="1">VLOOKUP(B28,B28:C28,language)</f>
        <v>toutes les institutions de prévoyance</v>
      </c>
      <c r="B28" s="106" t="s">
        <v>62</v>
      </c>
      <c r="C28" s="106" t="s">
        <v>482</v>
      </c>
    </row>
    <row r="29" spans="1:3" x14ac:dyDescent="0.2">
      <c r="A29" s="89" t="str">
        <f t="shared" si="1"/>
        <v>institutions de prévoyance sans garantie étatique</v>
      </c>
      <c r="B29" s="106" t="s">
        <v>64</v>
      </c>
      <c r="C29" s="106" t="s">
        <v>480</v>
      </c>
    </row>
    <row r="30" spans="1:3" x14ac:dyDescent="0.2">
      <c r="A30" s="89" t="str">
        <f t="shared" si="1"/>
        <v>institutions de prévoyance avec garantie étatique</v>
      </c>
      <c r="B30" s="106" t="s">
        <v>63</v>
      </c>
      <c r="C30" s="106" t="s">
        <v>481</v>
      </c>
    </row>
    <row r="31" spans="1:3" x14ac:dyDescent="0.2">
      <c r="A31" s="89" t="str">
        <f t="shared" si="1"/>
        <v>toutes les IP</v>
      </c>
      <c r="B31" s="99" t="s">
        <v>175</v>
      </c>
      <c r="C31" t="s">
        <v>487</v>
      </c>
    </row>
    <row r="32" spans="1:3" x14ac:dyDescent="0.2">
      <c r="A32" s="89" t="str">
        <f t="shared" ref="A32:A124" si="2">VLOOKUP(B32,B32:C32,language)</f>
        <v>IP sans garantie étatique</v>
      </c>
      <c r="B32" s="99" t="s">
        <v>115</v>
      </c>
      <c r="C32" t="s">
        <v>488</v>
      </c>
    </row>
    <row r="33" spans="1:3" x14ac:dyDescent="0.2">
      <c r="A33" s="89" t="str">
        <f t="shared" si="2"/>
        <v>IP avec garantie étatique</v>
      </c>
      <c r="B33" s="99" t="s">
        <v>116</v>
      </c>
      <c r="C33" t="s">
        <v>489</v>
      </c>
    </row>
    <row r="34" spans="1:3" x14ac:dyDescent="0.2">
      <c r="A34" s="89" t="str">
        <f t="shared" ref="A34:A35" si="3">VLOOKUP(B34,B34:C34,language)</f>
        <v>les montants exprimés en millions de francs</v>
      </c>
      <c r="B34" t="s">
        <v>177</v>
      </c>
      <c r="C34" t="s">
        <v>493</v>
      </c>
    </row>
    <row r="35" spans="1:3" x14ac:dyDescent="0.2">
      <c r="A35" s="89" t="str">
        <f t="shared" si="3"/>
        <v>les parts et les moyennes pondérées en fonction de la somme du bilan</v>
      </c>
      <c r="B35" t="s">
        <v>492</v>
      </c>
      <c r="C35" t="s">
        <v>494</v>
      </c>
    </row>
    <row r="36" spans="1:3" x14ac:dyDescent="0.2">
      <c r="A36" s="89" t="str">
        <f t="shared" ref="A36" si="4">VLOOKUP(B36,B36:C36,language)</f>
        <v>somme du bilan en millions de francs</v>
      </c>
      <c r="B36" t="s">
        <v>605</v>
      </c>
      <c r="C36" t="s">
        <v>606</v>
      </c>
    </row>
    <row r="37" spans="1:3" x14ac:dyDescent="0.2">
      <c r="A37" s="89">
        <f t="shared" si="2"/>
        <v>2012</v>
      </c>
      <c r="B37">
        <v>2012</v>
      </c>
      <c r="C37">
        <v>2012</v>
      </c>
    </row>
    <row r="38" spans="1:3" x14ac:dyDescent="0.2">
      <c r="A38" s="89">
        <f t="shared" si="2"/>
        <v>2013</v>
      </c>
      <c r="B38">
        <v>2013</v>
      </c>
      <c r="C38">
        <v>2013</v>
      </c>
    </row>
    <row r="39" spans="1:3" x14ac:dyDescent="0.2">
      <c r="A39" s="89">
        <f t="shared" si="2"/>
        <v>2014</v>
      </c>
      <c r="B39">
        <v>2014</v>
      </c>
      <c r="C39">
        <v>2014</v>
      </c>
    </row>
    <row r="40" spans="1:3" x14ac:dyDescent="0.2">
      <c r="A40" s="89" t="str">
        <f t="shared" ref="A40:A46" si="5">VLOOKUP(B40,B40:C40,language)</f>
        <v>Nombre d'IP</v>
      </c>
      <c r="B40" s="89" t="s">
        <v>29</v>
      </c>
      <c r="C40" s="105" t="s">
        <v>483</v>
      </c>
    </row>
    <row r="41" spans="1:3" x14ac:dyDescent="0.2">
      <c r="A41" s="89" t="str">
        <f t="shared" si="5"/>
        <v>Nombre d'assurés actifs</v>
      </c>
      <c r="B41" s="89" t="s">
        <v>58</v>
      </c>
      <c r="C41" s="105" t="s">
        <v>484</v>
      </c>
    </row>
    <row r="42" spans="1:3" x14ac:dyDescent="0.2">
      <c r="A42" s="89" t="str">
        <f t="shared" si="5"/>
        <v>Nombre de rentiers</v>
      </c>
      <c r="B42" s="89" t="s">
        <v>60</v>
      </c>
      <c r="C42" s="105" t="s">
        <v>245</v>
      </c>
    </row>
    <row r="43" spans="1:3" x14ac:dyDescent="0.2">
      <c r="A43" s="89" t="str">
        <f t="shared" si="5"/>
        <v>Somme du bilan</v>
      </c>
      <c r="B43" s="89" t="s">
        <v>1</v>
      </c>
      <c r="C43" s="105" t="s">
        <v>208</v>
      </c>
    </row>
    <row r="44" spans="1:3" x14ac:dyDescent="0.2">
      <c r="A44" s="89" t="str">
        <f t="shared" si="5"/>
        <v>Nombre d'assurés</v>
      </c>
      <c r="B44" s="89" t="s">
        <v>59</v>
      </c>
      <c r="C44" s="105" t="s">
        <v>485</v>
      </c>
    </row>
    <row r="45" spans="1:3" x14ac:dyDescent="0.2">
      <c r="A45" s="89" t="str">
        <f t="shared" si="5"/>
        <v>Part de rentiers</v>
      </c>
      <c r="B45" s="89" t="s">
        <v>0</v>
      </c>
      <c r="C45" s="105" t="s">
        <v>527</v>
      </c>
    </row>
    <row r="46" spans="1:3" x14ac:dyDescent="0.2">
      <c r="A46" s="89" t="str">
        <f t="shared" si="5"/>
        <v>Part de la somme du bilan</v>
      </c>
      <c r="B46" s="89" t="s">
        <v>61</v>
      </c>
      <c r="C46" s="105" t="s">
        <v>486</v>
      </c>
    </row>
    <row r="47" spans="1:3" x14ac:dyDescent="0.2">
      <c r="A47" s="89" t="str">
        <f t="shared" ref="A47:A57" si="6">VLOOKUP(B47,B47:C47,language)</f>
        <v>Risque global</v>
      </c>
      <c r="B47" t="s">
        <v>171</v>
      </c>
      <c r="C47" t="s">
        <v>213</v>
      </c>
    </row>
    <row r="48" spans="1:3" x14ac:dyDescent="0.2">
      <c r="A48" s="89" t="str">
        <f t="shared" si="6"/>
        <v>Risque lié au taux de couverture</v>
      </c>
      <c r="B48" t="s">
        <v>501</v>
      </c>
      <c r="C48" t="s">
        <v>505</v>
      </c>
    </row>
    <row r="49" spans="1:3" x14ac:dyDescent="0.2">
      <c r="A49" s="89" t="str">
        <f t="shared" si="6"/>
        <v>Risque lié à la promesse d'intérêts</v>
      </c>
      <c r="B49" t="s">
        <v>502</v>
      </c>
      <c r="C49" t="s">
        <v>506</v>
      </c>
    </row>
    <row r="50" spans="1:3" x14ac:dyDescent="0.2">
      <c r="A50" s="89" t="str">
        <f t="shared" si="6"/>
        <v>Risque lié à la capacité d'assainissement</v>
      </c>
      <c r="B50" t="s">
        <v>503</v>
      </c>
      <c r="C50" t="s">
        <v>507</v>
      </c>
    </row>
    <row r="51" spans="1:3" x14ac:dyDescent="0.2">
      <c r="A51" s="89" t="str">
        <f t="shared" si="6"/>
        <v>Risque lié à la stratégie de placement</v>
      </c>
      <c r="B51" t="s">
        <v>504</v>
      </c>
      <c r="C51" t="s">
        <v>508</v>
      </c>
    </row>
    <row r="52" spans="1:3" x14ac:dyDescent="0.2">
      <c r="A52" s="89" t="str">
        <f t="shared" ref="A52" si="7">VLOOKUP(B52,B52:C52,language)</f>
        <v>Niveau de risque</v>
      </c>
      <c r="B52" s="106" t="s">
        <v>55</v>
      </c>
      <c r="C52" s="106" t="s">
        <v>497</v>
      </c>
    </row>
    <row r="53" spans="1:3" x14ac:dyDescent="0.2">
      <c r="A53" s="89" t="str">
        <f t="shared" si="6"/>
        <v>1 – faible</v>
      </c>
      <c r="B53" s="98" t="s">
        <v>120</v>
      </c>
      <c r="C53" s="98" t="s">
        <v>233</v>
      </c>
    </row>
    <row r="54" spans="1:3" x14ac:dyDescent="0.2">
      <c r="A54" s="89" t="str">
        <f t="shared" si="6"/>
        <v>2 – plutôt faible</v>
      </c>
      <c r="B54" s="98" t="s">
        <v>56</v>
      </c>
      <c r="C54" s="98" t="s">
        <v>234</v>
      </c>
    </row>
    <row r="55" spans="1:3" x14ac:dyDescent="0.2">
      <c r="A55" s="89" t="str">
        <f t="shared" si="6"/>
        <v>3 – moyen</v>
      </c>
      <c r="B55" s="98" t="s">
        <v>121</v>
      </c>
      <c r="C55" s="98" t="s">
        <v>235</v>
      </c>
    </row>
    <row r="56" spans="1:3" x14ac:dyDescent="0.2">
      <c r="A56" s="89" t="str">
        <f t="shared" si="6"/>
        <v>4 – plutôt élevé</v>
      </c>
      <c r="B56" s="98" t="s">
        <v>57</v>
      </c>
      <c r="C56" s="98" t="s">
        <v>236</v>
      </c>
    </row>
    <row r="57" spans="1:3" x14ac:dyDescent="0.2">
      <c r="A57" s="89" t="str">
        <f t="shared" si="6"/>
        <v>5 – élevé</v>
      </c>
      <c r="B57" s="98" t="s">
        <v>122</v>
      </c>
      <c r="C57" s="98" t="s">
        <v>237</v>
      </c>
    </row>
    <row r="58" spans="1:3" x14ac:dyDescent="0.2">
      <c r="A58" s="89" t="str">
        <f t="shared" si="2"/>
        <v>Taux de retour des questionnaires</v>
      </c>
      <c r="B58" t="s">
        <v>173</v>
      </c>
      <c r="C58" t="s">
        <v>238</v>
      </c>
    </row>
    <row r="59" spans="1:3" x14ac:dyDescent="0.2">
      <c r="A59" s="107" t="str">
        <f t="shared" si="2"/>
        <v>Nombre des questionnaires</v>
      </c>
      <c r="B59" s="98" t="s">
        <v>515</v>
      </c>
      <c r="C59" s="98" t="s">
        <v>516</v>
      </c>
    </row>
    <row r="60" spans="1:3" x14ac:dyDescent="0.2">
      <c r="A60" s="107" t="str">
        <f t="shared" si="2"/>
        <v>Part des questionnaires envoyés</v>
      </c>
      <c r="B60" s="98" t="s">
        <v>517</v>
      </c>
      <c r="C60" s="98" t="s">
        <v>518</v>
      </c>
    </row>
    <row r="61" spans="1:3" x14ac:dyDescent="0.2">
      <c r="A61" s="107" t="str">
        <f t="shared" si="2"/>
        <v>Questionnaires envoyés</v>
      </c>
      <c r="B61" s="5" t="s">
        <v>23</v>
      </c>
      <c r="C61" s="5" t="s">
        <v>239</v>
      </c>
    </row>
    <row r="62" spans="1:3" x14ac:dyDescent="0.2">
      <c r="A62" s="107" t="str">
        <f t="shared" ref="A62" si="8">VLOOKUP(B62,B62:C62,language)</f>
        <v>Questionnaires non retournés</v>
      </c>
      <c r="B62" s="5" t="s">
        <v>478</v>
      </c>
      <c r="C62" s="5" t="s">
        <v>479</v>
      </c>
    </row>
    <row r="63" spans="1:3" x14ac:dyDescent="0.2">
      <c r="A63" s="107" t="str">
        <f t="shared" si="2"/>
        <v>Questionnaires retournés</v>
      </c>
      <c r="B63" s="5" t="s">
        <v>24</v>
      </c>
      <c r="C63" s="5" t="s">
        <v>240</v>
      </c>
    </row>
    <row r="64" spans="1:3" x14ac:dyDescent="0.2">
      <c r="A64" s="107" t="str">
        <f t="shared" si="2"/>
        <v>dont d'institutions en liquidation</v>
      </c>
      <c r="B64" s="3" t="s">
        <v>25</v>
      </c>
      <c r="C64" s="3" t="s">
        <v>241</v>
      </c>
    </row>
    <row r="65" spans="1:3" x14ac:dyDescent="0.2">
      <c r="A65" s="107" t="str">
        <f t="shared" si="2"/>
        <v>dont d'institutions non soumises à la loi sur le libre passage</v>
      </c>
      <c r="B65" s="3" t="s">
        <v>26</v>
      </c>
      <c r="C65" s="3" t="s">
        <v>242</v>
      </c>
    </row>
    <row r="66" spans="1:3" x14ac:dyDescent="0.2">
      <c r="A66" s="107" t="str">
        <f t="shared" si="2"/>
        <v>Questionnaires exploités pour le présent rapport</v>
      </c>
      <c r="B66" s="5" t="s">
        <v>27</v>
      </c>
      <c r="C66" s="5" t="s">
        <v>243</v>
      </c>
    </row>
    <row r="67" spans="1:3" x14ac:dyDescent="0.2">
      <c r="A67" s="89" t="str">
        <f t="shared" si="2"/>
        <v>Données de base</v>
      </c>
      <c r="B67" t="s">
        <v>174</v>
      </c>
      <c r="C67" t="s">
        <v>490</v>
      </c>
    </row>
    <row r="68" spans="1:3" x14ac:dyDescent="0.2">
      <c r="A68" s="107" t="str">
        <f t="shared" si="2"/>
        <v>Nombre d’institutions de prévoyance</v>
      </c>
      <c r="B68" s="1" t="s">
        <v>79</v>
      </c>
      <c r="C68" s="1" t="s">
        <v>244</v>
      </c>
    </row>
    <row r="69" spans="1:3" x14ac:dyDescent="0.2">
      <c r="A69" s="107" t="str">
        <f t="shared" si="2"/>
        <v>Nombre d’assurés actifs</v>
      </c>
      <c r="B69" s="1" t="s">
        <v>58</v>
      </c>
      <c r="C69" s="1" t="s">
        <v>206</v>
      </c>
    </row>
    <row r="70" spans="1:3" x14ac:dyDescent="0.2">
      <c r="A70" s="107" t="str">
        <f t="shared" si="2"/>
        <v>Nombre de rentiers</v>
      </c>
      <c r="B70" s="1" t="s">
        <v>60</v>
      </c>
      <c r="C70" s="1" t="s">
        <v>245</v>
      </c>
    </row>
    <row r="71" spans="1:3" x14ac:dyDescent="0.2">
      <c r="A71" s="107" t="str">
        <f t="shared" si="2"/>
        <v>Masse salariale de base</v>
      </c>
      <c r="B71" s="1" t="s">
        <v>69</v>
      </c>
      <c r="C71" s="1" t="s">
        <v>246</v>
      </c>
    </row>
    <row r="72" spans="1:3" x14ac:dyDescent="0.2">
      <c r="A72" s="107" t="str">
        <f t="shared" si="2"/>
        <v>Masse salariale assurée</v>
      </c>
      <c r="B72" s="1" t="s">
        <v>68</v>
      </c>
      <c r="C72" s="1" t="s">
        <v>207</v>
      </c>
    </row>
    <row r="73" spans="1:3" x14ac:dyDescent="0.2">
      <c r="A73" s="107" t="str">
        <f t="shared" si="2"/>
        <v>Somme des rentes</v>
      </c>
      <c r="B73" s="1" t="s">
        <v>70</v>
      </c>
      <c r="C73" s="1" t="s">
        <v>247</v>
      </c>
    </row>
    <row r="74" spans="1:3" x14ac:dyDescent="0.2">
      <c r="A74" s="107" t="str">
        <f t="shared" si="2"/>
        <v>Somme du bilan</v>
      </c>
      <c r="B74" s="1" t="s">
        <v>1</v>
      </c>
      <c r="C74" s="1" t="s">
        <v>208</v>
      </c>
    </row>
    <row r="75" spans="1:3" x14ac:dyDescent="0.2">
      <c r="A75" s="107" t="str">
        <f t="shared" si="2"/>
        <v>Réserves de cotisations d’employeur sans déclaration de renonciation</v>
      </c>
      <c r="B75" s="1" t="s">
        <v>71</v>
      </c>
      <c r="C75" s="1" t="s">
        <v>248</v>
      </c>
    </row>
    <row r="76" spans="1:3" x14ac:dyDescent="0.2">
      <c r="A76" s="107" t="str">
        <f t="shared" si="2"/>
        <v>Réserves de cotisations d’employeur avec déclaration de renonciation</v>
      </c>
      <c r="B76" s="1" t="s">
        <v>72</v>
      </c>
      <c r="C76" s="1" t="s">
        <v>249</v>
      </c>
    </row>
    <row r="77" spans="1:3" x14ac:dyDescent="0.2">
      <c r="A77" s="107" t="str">
        <f t="shared" si="2"/>
        <v>Avoirs de vieillesse LPP</v>
      </c>
      <c r="B77" s="1" t="s">
        <v>73</v>
      </c>
      <c r="C77" s="1" t="s">
        <v>250</v>
      </c>
    </row>
    <row r="78" spans="1:3" x14ac:dyDescent="0.2">
      <c r="A78" s="107" t="str">
        <f t="shared" si="2"/>
        <v>Capital de prévoyance des assurés actifs</v>
      </c>
      <c r="B78" s="1" t="s">
        <v>74</v>
      </c>
      <c r="C78" s="1" t="s">
        <v>251</v>
      </c>
    </row>
    <row r="79" spans="1:3" x14ac:dyDescent="0.2">
      <c r="A79" s="107" t="str">
        <f t="shared" si="2"/>
        <v>Capital de prévoyance des rentiers</v>
      </c>
      <c r="B79" s="1" t="s">
        <v>75</v>
      </c>
      <c r="C79" s="1" t="s">
        <v>252</v>
      </c>
    </row>
    <row r="80" spans="1:3" x14ac:dyDescent="0.2">
      <c r="A80" s="107" t="str">
        <f t="shared" si="2"/>
        <v>Provisions techniques</v>
      </c>
      <c r="B80" s="1" t="s">
        <v>76</v>
      </c>
      <c r="C80" s="1" t="s">
        <v>209</v>
      </c>
    </row>
    <row r="81" spans="1:3" x14ac:dyDescent="0.2">
      <c r="A81" s="107" t="str">
        <f t="shared" si="2"/>
        <v>Cotisations réglementaires</v>
      </c>
      <c r="B81" s="1" t="s">
        <v>77</v>
      </c>
      <c r="C81" s="1" t="s">
        <v>210</v>
      </c>
    </row>
    <row r="82" spans="1:3" x14ac:dyDescent="0.2">
      <c r="A82" s="107" t="str">
        <f t="shared" si="2"/>
        <v>Autres contributions</v>
      </c>
      <c r="B82" s="1" t="s">
        <v>78</v>
      </c>
      <c r="C82" s="1" t="s">
        <v>253</v>
      </c>
    </row>
    <row r="83" spans="1:3" x14ac:dyDescent="0.2">
      <c r="A83" s="89" t="str">
        <f t="shared" si="2"/>
        <v>Principaux chiffres clés</v>
      </c>
      <c r="B83" t="s">
        <v>176</v>
      </c>
      <c r="C83" t="s">
        <v>491</v>
      </c>
    </row>
    <row r="84" spans="1:3" x14ac:dyDescent="0.2">
      <c r="A84" s="107" t="str">
        <f t="shared" si="2"/>
        <v>ø Rémunération des avoirs de vieillesse (primauté des cotisations)</v>
      </c>
      <c r="B84" s="1" t="s">
        <v>89</v>
      </c>
      <c r="C84" s="1" t="s">
        <v>254</v>
      </c>
    </row>
    <row r="85" spans="1:3" x14ac:dyDescent="0.2">
      <c r="A85" s="107" t="str">
        <f t="shared" si="2"/>
        <v>ø Taux d’intérêt technique</v>
      </c>
      <c r="B85" s="1" t="s">
        <v>86</v>
      </c>
      <c r="C85" s="1" t="s">
        <v>255</v>
      </c>
    </row>
    <row r="86" spans="1:3" x14ac:dyDescent="0.2">
      <c r="A86" s="107" t="str">
        <f t="shared" si="2"/>
        <v>Tables de génération (part)</v>
      </c>
      <c r="B86" s="1" t="s">
        <v>80</v>
      </c>
      <c r="C86" s="1" t="s">
        <v>256</v>
      </c>
    </row>
    <row r="87" spans="1:3" x14ac:dyDescent="0.2">
      <c r="A87" s="107" t="str">
        <f t="shared" si="2"/>
        <v>ø Taux de couverture calculé sur des bases individuelles</v>
      </c>
      <c r="B87" s="1" t="s">
        <v>87</v>
      </c>
      <c r="C87" s="1" t="s">
        <v>257</v>
      </c>
    </row>
    <row r="88" spans="1:3" x14ac:dyDescent="0.2">
      <c r="A88" s="107" t="str">
        <f t="shared" si="2"/>
        <v>ø Taux de couverture calculé sur des bases uniformes</v>
      </c>
      <c r="B88" s="1" t="s">
        <v>88</v>
      </c>
      <c r="C88" s="1" t="s">
        <v>258</v>
      </c>
    </row>
    <row r="89" spans="1:3" x14ac:dyDescent="0.2">
      <c r="A89" s="107" t="str">
        <f t="shared" si="2"/>
        <v>Situations de découvert (part)</v>
      </c>
      <c r="B89" s="1" t="s">
        <v>81</v>
      </c>
      <c r="C89" s="1" t="s">
        <v>259</v>
      </c>
    </row>
    <row r="90" spans="1:3" x14ac:dyDescent="0.2">
      <c r="A90" s="107" t="str">
        <f t="shared" si="2"/>
        <v>Primauté des prestations (part)</v>
      </c>
      <c r="B90" s="1" t="s">
        <v>82</v>
      </c>
      <c r="C90" s="1" t="s">
        <v>260</v>
      </c>
    </row>
    <row r="91" spans="1:3" x14ac:dyDescent="0.2">
      <c r="A91" s="107" t="str">
        <f t="shared" si="2"/>
        <v>ø Taux de conversion prévu (dans cinq ans, à l’âge de 65 ans, primauté des cotisations)</v>
      </c>
      <c r="B91" s="1" t="s">
        <v>90</v>
      </c>
      <c r="C91" s="1" t="s">
        <v>261</v>
      </c>
    </row>
    <row r="92" spans="1:3" x14ac:dyDescent="0.2">
      <c r="A92" s="107" t="str">
        <f t="shared" si="2"/>
        <v>ø Promesses d’intérêts au moment du départ à la retraite (dans cinq ans)</v>
      </c>
      <c r="B92" s="1" t="s">
        <v>262</v>
      </c>
      <c r="C92" s="1" t="s">
        <v>263</v>
      </c>
    </row>
    <row r="93" spans="1:3" x14ac:dyDescent="0.2">
      <c r="A93" s="107" t="str">
        <f t="shared" si="2"/>
        <v>Institutions de prévoyance enregistrées (part)</v>
      </c>
      <c r="B93" s="1" t="s">
        <v>83</v>
      </c>
      <c r="C93" s="1" t="s">
        <v>264</v>
      </c>
    </row>
    <row r="94" spans="1:3" x14ac:dyDescent="0.2">
      <c r="A94" s="107" t="str">
        <f t="shared" si="2"/>
        <v>Avoirs de vieillesse LPP dans le capital de prévoyance des assurés actifs (part)</v>
      </c>
      <c r="B94" s="1" t="s">
        <v>84</v>
      </c>
      <c r="C94" s="1" t="s">
        <v>265</v>
      </c>
    </row>
    <row r="95" spans="1:3" x14ac:dyDescent="0.2">
      <c r="A95" s="107" t="str">
        <f t="shared" si="2"/>
        <v>Engagements liés aux rentes (part)</v>
      </c>
      <c r="B95" s="1" t="s">
        <v>266</v>
      </c>
      <c r="C95" s="1" t="s">
        <v>267</v>
      </c>
    </row>
    <row r="96" spans="1:3" x14ac:dyDescent="0.2">
      <c r="A96" s="107" t="str">
        <f t="shared" si="2"/>
        <v>ø Impact de la perception de cotisations d’assainissement</v>
      </c>
      <c r="B96" s="1" t="s">
        <v>91</v>
      </c>
      <c r="C96" s="1" t="s">
        <v>268</v>
      </c>
    </row>
    <row r="97" spans="1:3" x14ac:dyDescent="0.2">
      <c r="A97" s="107" t="str">
        <f t="shared" si="2"/>
        <v>ø Impact d’une baisse de la rémunération des avoirs de vieillesse</v>
      </c>
      <c r="B97" s="1" t="s">
        <v>92</v>
      </c>
      <c r="C97" s="1" t="s">
        <v>269</v>
      </c>
    </row>
    <row r="98" spans="1:3" x14ac:dyDescent="0.2">
      <c r="A98" s="107" t="str">
        <f t="shared" si="2"/>
        <v>Valeurs réelles dans les placements (part)</v>
      </c>
      <c r="B98" s="1" t="s">
        <v>85</v>
      </c>
      <c r="C98" s="1" t="s">
        <v>270</v>
      </c>
    </row>
    <row r="99" spans="1:3" x14ac:dyDescent="0.2">
      <c r="A99" s="107" t="str">
        <f t="shared" si="2"/>
        <v>ø Rendement net des placements</v>
      </c>
      <c r="B99" s="1" t="s">
        <v>93</v>
      </c>
      <c r="C99" s="1" t="s">
        <v>271</v>
      </c>
    </row>
    <row r="100" spans="1:3" x14ac:dyDescent="0.2">
      <c r="A100" s="107" t="str">
        <f t="shared" si="2"/>
        <v>ø Exposition au risque de change</v>
      </c>
      <c r="B100" s="1" t="s">
        <v>159</v>
      </c>
      <c r="C100" s="1" t="s">
        <v>272</v>
      </c>
    </row>
    <row r="101" spans="1:3" x14ac:dyDescent="0.2">
      <c r="A101" s="107" t="str">
        <f t="shared" si="2"/>
        <v>ø Volatilité attendue</v>
      </c>
      <c r="B101" s="1" t="s">
        <v>94</v>
      </c>
      <c r="C101" s="1" t="s">
        <v>273</v>
      </c>
    </row>
    <row r="102" spans="1:3" x14ac:dyDescent="0.2">
      <c r="A102" s="107" t="str">
        <f t="shared" si="2"/>
        <v>ø Objectif des réserves de fluctuation de valeur</v>
      </c>
      <c r="B102" s="1" t="s">
        <v>160</v>
      </c>
      <c r="C102" s="1" t="s">
        <v>274</v>
      </c>
    </row>
    <row r="103" spans="1:3" x14ac:dyDescent="0.2">
      <c r="A103" s="89" t="str">
        <f t="shared" si="2"/>
        <v>Intérêt servi sur l’avoir de vieillesse</v>
      </c>
      <c r="B103" t="s">
        <v>275</v>
      </c>
      <c r="C103" t="s">
        <v>276</v>
      </c>
    </row>
    <row r="104" spans="1:3" x14ac:dyDescent="0.2">
      <c r="A104" s="107" t="str">
        <f t="shared" ref="A104:A120" si="9">VLOOKUP(B104,B104:C104,language)</f>
        <v>Non défini</v>
      </c>
      <c r="B104" s="1" t="s">
        <v>95</v>
      </c>
      <c r="C104" s="1" t="s">
        <v>340</v>
      </c>
    </row>
    <row r="105" spans="1:3" x14ac:dyDescent="0.2">
      <c r="A105" s="107" t="str">
        <f t="shared" si="9"/>
        <v>Moins de 0,00 %</v>
      </c>
      <c r="B105" s="1" t="s">
        <v>98</v>
      </c>
      <c r="C105" s="1" t="s">
        <v>551</v>
      </c>
    </row>
    <row r="106" spans="1:3" x14ac:dyDescent="0.2">
      <c r="A106" s="107" t="str">
        <f t="shared" si="9"/>
        <v>Exactement 0,00 %</v>
      </c>
      <c r="B106" s="1" t="s">
        <v>101</v>
      </c>
      <c r="C106" s="1" t="s">
        <v>552</v>
      </c>
    </row>
    <row r="107" spans="1:3" x14ac:dyDescent="0.2">
      <c r="A107" s="107" t="str">
        <f t="shared" si="9"/>
        <v>De 0,01 à 0,49 %</v>
      </c>
      <c r="B107" s="1" t="s">
        <v>553</v>
      </c>
      <c r="C107" s="1" t="s">
        <v>554</v>
      </c>
    </row>
    <row r="108" spans="1:3" x14ac:dyDescent="0.2">
      <c r="A108" s="107" t="str">
        <f t="shared" si="9"/>
        <v>De 0,50 à 0,99 %</v>
      </c>
      <c r="B108" s="1" t="s">
        <v>546</v>
      </c>
      <c r="C108" s="1" t="s">
        <v>555</v>
      </c>
    </row>
    <row r="109" spans="1:3" x14ac:dyDescent="0.2">
      <c r="A109" s="107" t="str">
        <f t="shared" si="9"/>
        <v>De 1,00 à 1,49 %</v>
      </c>
      <c r="B109" s="1" t="s">
        <v>279</v>
      </c>
      <c r="C109" s="1" t="s">
        <v>280</v>
      </c>
    </row>
    <row r="110" spans="1:3" x14ac:dyDescent="0.2">
      <c r="A110" s="107" t="str">
        <f t="shared" si="9"/>
        <v>Exactement 1,50 %</v>
      </c>
      <c r="B110" s="1" t="s">
        <v>99</v>
      </c>
      <c r="C110" s="1" t="s">
        <v>556</v>
      </c>
    </row>
    <row r="111" spans="1:3" x14ac:dyDescent="0.2">
      <c r="A111" s="107" t="str">
        <f t="shared" si="9"/>
        <v>De 1,51 à 1,74 %</v>
      </c>
      <c r="B111" s="1" t="s">
        <v>548</v>
      </c>
      <c r="C111" s="1" t="s">
        <v>558</v>
      </c>
    </row>
    <row r="112" spans="1:3" x14ac:dyDescent="0.2">
      <c r="A112" s="107" t="str">
        <f t="shared" si="9"/>
        <v>Exactement 1,75 %</v>
      </c>
      <c r="B112" s="1" t="s">
        <v>100</v>
      </c>
      <c r="C112" s="1" t="s">
        <v>557</v>
      </c>
    </row>
    <row r="113" spans="1:3" x14ac:dyDescent="0.2">
      <c r="A113" s="107" t="str">
        <f t="shared" si="9"/>
        <v>De 1,76 à 1,99 %</v>
      </c>
      <c r="B113" s="1" t="s">
        <v>547</v>
      </c>
      <c r="C113" s="1" t="s">
        <v>559</v>
      </c>
    </row>
    <row r="114" spans="1:3" x14ac:dyDescent="0.2">
      <c r="A114" s="107" t="str">
        <f t="shared" si="9"/>
        <v>De 2,00 à 2,49 %</v>
      </c>
      <c r="B114" s="1" t="s">
        <v>283</v>
      </c>
      <c r="C114" s="1" t="s">
        <v>284</v>
      </c>
    </row>
    <row r="115" spans="1:3" x14ac:dyDescent="0.2">
      <c r="A115" s="107" t="str">
        <f t="shared" si="9"/>
        <v>De 2,50 à 2,99 %</v>
      </c>
      <c r="B115" s="1" t="s">
        <v>123</v>
      </c>
      <c r="C115" s="1" t="s">
        <v>285</v>
      </c>
    </row>
    <row r="116" spans="1:3" x14ac:dyDescent="0.2">
      <c r="A116" s="107" t="str">
        <f t="shared" si="9"/>
        <v>De 3,00 à 3,49 %</v>
      </c>
      <c r="B116" s="1" t="s">
        <v>124</v>
      </c>
      <c r="C116" s="1" t="s">
        <v>293</v>
      </c>
    </row>
    <row r="117" spans="1:3" x14ac:dyDescent="0.2">
      <c r="A117" s="107" t="str">
        <f t="shared" si="9"/>
        <v>De 3,50 à 3,99 %</v>
      </c>
      <c r="B117" s="1" t="s">
        <v>125</v>
      </c>
      <c r="C117" s="1" t="s">
        <v>294</v>
      </c>
    </row>
    <row r="118" spans="1:3" x14ac:dyDescent="0.2">
      <c r="A118" s="107" t="str">
        <f t="shared" si="9"/>
        <v>De 4,00 à 4,49 %</v>
      </c>
      <c r="B118" s="1" t="s">
        <v>126</v>
      </c>
      <c r="C118" s="1" t="s">
        <v>295</v>
      </c>
    </row>
    <row r="119" spans="1:3" x14ac:dyDescent="0.2">
      <c r="A119" s="107" t="str">
        <f t="shared" si="9"/>
        <v>De 4,50 à 4,99 %</v>
      </c>
      <c r="B119" s="1" t="s">
        <v>549</v>
      </c>
      <c r="C119" s="1" t="s">
        <v>560</v>
      </c>
    </row>
    <row r="120" spans="1:3" x14ac:dyDescent="0.2">
      <c r="A120" s="107" t="str">
        <f t="shared" si="9"/>
        <v>5,00 % et plus</v>
      </c>
      <c r="B120" s="1" t="s">
        <v>550</v>
      </c>
      <c r="C120" s="1" t="s">
        <v>561</v>
      </c>
    </row>
    <row r="121" spans="1:3" x14ac:dyDescent="0.2">
      <c r="A121" s="107" t="str">
        <f t="shared" si="2"/>
        <v>Moins de 1,00 %</v>
      </c>
      <c r="B121" s="1" t="s">
        <v>277</v>
      </c>
      <c r="C121" s="1" t="s">
        <v>278</v>
      </c>
    </row>
    <row r="122" spans="1:3" x14ac:dyDescent="0.2">
      <c r="A122" s="107" t="str">
        <f t="shared" si="2"/>
        <v>De 1,00 à 1,49 %</v>
      </c>
      <c r="B122" s="1" t="s">
        <v>279</v>
      </c>
      <c r="C122" s="1" t="s">
        <v>280</v>
      </c>
    </row>
    <row r="123" spans="1:3" x14ac:dyDescent="0.2">
      <c r="A123" s="107" t="str">
        <f t="shared" si="2"/>
        <v>De 1,50 à 1,99 %</v>
      </c>
      <c r="B123" s="1" t="s">
        <v>281</v>
      </c>
      <c r="C123" s="1" t="s">
        <v>282</v>
      </c>
    </row>
    <row r="124" spans="1:3" x14ac:dyDescent="0.2">
      <c r="A124" s="107" t="str">
        <f t="shared" si="2"/>
        <v>De 2,00 à 2,49 %</v>
      </c>
      <c r="B124" s="1" t="s">
        <v>283</v>
      </c>
      <c r="C124" s="1" t="s">
        <v>284</v>
      </c>
    </row>
    <row r="125" spans="1:3" x14ac:dyDescent="0.2">
      <c r="A125" s="107" t="str">
        <f t="shared" ref="A125:A237" si="10">VLOOKUP(B125,B125:C125,language)</f>
        <v>De 2,50 à 2,99 %</v>
      </c>
      <c r="B125" s="1" t="s">
        <v>123</v>
      </c>
      <c r="C125" s="1" t="s">
        <v>285</v>
      </c>
    </row>
    <row r="126" spans="1:3" x14ac:dyDescent="0.2">
      <c r="A126" s="107" t="str">
        <f t="shared" si="10"/>
        <v>3,00 % et plus</v>
      </c>
      <c r="B126" s="1" t="s">
        <v>286</v>
      </c>
      <c r="C126" s="1" t="s">
        <v>287</v>
      </c>
    </row>
    <row r="127" spans="1:3" x14ac:dyDescent="0.2">
      <c r="A127" s="89" t="str">
        <f t="shared" si="10"/>
        <v xml:space="preserve">Taux d'intérêt technique </v>
      </c>
      <c r="B127" t="s">
        <v>52</v>
      </c>
      <c r="C127" t="s">
        <v>288</v>
      </c>
    </row>
    <row r="128" spans="1:3" x14ac:dyDescent="0.2">
      <c r="A128" s="107" t="str">
        <f t="shared" si="10"/>
        <v>Pas de rentes payées directement par l'IP</v>
      </c>
      <c r="B128" s="1" t="s">
        <v>289</v>
      </c>
      <c r="C128" s="1" t="s">
        <v>290</v>
      </c>
    </row>
    <row r="129" spans="1:3" x14ac:dyDescent="0.2">
      <c r="A129" s="107" t="str">
        <f t="shared" si="10"/>
        <v>Moins de 2,50 %</v>
      </c>
      <c r="B129" s="1" t="s">
        <v>291</v>
      </c>
      <c r="C129" s="1" t="s">
        <v>292</v>
      </c>
    </row>
    <row r="130" spans="1:3" x14ac:dyDescent="0.2">
      <c r="A130" s="107" t="str">
        <f t="shared" si="10"/>
        <v>De 2,50 à 2,99 %</v>
      </c>
      <c r="B130" s="1" t="s">
        <v>123</v>
      </c>
      <c r="C130" s="1" t="s">
        <v>285</v>
      </c>
    </row>
    <row r="131" spans="1:3" x14ac:dyDescent="0.2">
      <c r="A131" s="107" t="str">
        <f t="shared" si="10"/>
        <v>De 3,00 à 3,49 %</v>
      </c>
      <c r="B131" s="1" t="s">
        <v>124</v>
      </c>
      <c r="C131" s="1" t="s">
        <v>293</v>
      </c>
    </row>
    <row r="132" spans="1:3" x14ac:dyDescent="0.2">
      <c r="A132" s="107" t="str">
        <f t="shared" si="10"/>
        <v>De 3,50 à 3,99 %</v>
      </c>
      <c r="B132" s="1" t="s">
        <v>125</v>
      </c>
      <c r="C132" s="1" t="s">
        <v>294</v>
      </c>
    </row>
    <row r="133" spans="1:3" x14ac:dyDescent="0.2">
      <c r="A133" s="107" t="str">
        <f t="shared" si="10"/>
        <v>De 4,00 à 4,49 %</v>
      </c>
      <c r="B133" s="1" t="s">
        <v>126</v>
      </c>
      <c r="C133" s="1" t="s">
        <v>295</v>
      </c>
    </row>
    <row r="134" spans="1:3" x14ac:dyDescent="0.2">
      <c r="A134" s="107" t="str">
        <f t="shared" si="10"/>
        <v>4,50 % et plus</v>
      </c>
      <c r="B134" s="1" t="s">
        <v>296</v>
      </c>
      <c r="C134" s="1" t="s">
        <v>297</v>
      </c>
    </row>
    <row r="135" spans="1:3" x14ac:dyDescent="0.2">
      <c r="A135" s="89" t="str">
        <f t="shared" si="10"/>
        <v>Taux d'intérêt promis applicable aux futures rentes</v>
      </c>
      <c r="B135" t="s">
        <v>298</v>
      </c>
      <c r="C135" t="s">
        <v>299</v>
      </c>
    </row>
    <row r="136" spans="1:3" x14ac:dyDescent="0.2">
      <c r="A136" s="107" t="str">
        <f t="shared" si="10"/>
        <v>Assurance / Prestations sous forme de capital</v>
      </c>
      <c r="B136" s="1" t="s">
        <v>53</v>
      </c>
      <c r="C136" s="1" t="s">
        <v>602</v>
      </c>
    </row>
    <row r="137" spans="1:3" x14ac:dyDescent="0.2">
      <c r="A137" s="107" t="str">
        <f t="shared" si="10"/>
        <v>Moins de 2,50 %</v>
      </c>
      <c r="B137" s="1" t="s">
        <v>291</v>
      </c>
      <c r="C137" s="1" t="s">
        <v>292</v>
      </c>
    </row>
    <row r="138" spans="1:3" x14ac:dyDescent="0.2">
      <c r="A138" s="107" t="str">
        <f t="shared" si="10"/>
        <v>De 2,50 à 2,99 %</v>
      </c>
      <c r="B138" s="1" t="s">
        <v>123</v>
      </c>
      <c r="C138" s="1" t="s">
        <v>285</v>
      </c>
    </row>
    <row r="139" spans="1:3" x14ac:dyDescent="0.2">
      <c r="A139" s="107" t="str">
        <f t="shared" si="10"/>
        <v>De 3,00 à 3,49 %</v>
      </c>
      <c r="B139" s="1" t="s">
        <v>124</v>
      </c>
      <c r="C139" s="1" t="s">
        <v>293</v>
      </c>
    </row>
    <row r="140" spans="1:3" x14ac:dyDescent="0.2">
      <c r="A140" s="107" t="str">
        <f t="shared" si="10"/>
        <v>De 3,50 à 3,99 %</v>
      </c>
      <c r="B140" s="1" t="s">
        <v>125</v>
      </c>
      <c r="C140" s="1" t="s">
        <v>294</v>
      </c>
    </row>
    <row r="141" spans="1:3" x14ac:dyDescent="0.2">
      <c r="A141" s="107" t="str">
        <f t="shared" si="10"/>
        <v>De 4,00 à 4,49 %</v>
      </c>
      <c r="B141" s="1" t="s">
        <v>126</v>
      </c>
      <c r="C141" s="1" t="s">
        <v>295</v>
      </c>
    </row>
    <row r="142" spans="1:3" x14ac:dyDescent="0.2">
      <c r="A142" s="107" t="str">
        <f t="shared" si="10"/>
        <v>4,50 % et plus</v>
      </c>
      <c r="B142" s="1" t="s">
        <v>296</v>
      </c>
      <c r="C142" s="1" t="s">
        <v>297</v>
      </c>
    </row>
    <row r="143" spans="1:3" x14ac:dyDescent="0.2">
      <c r="A143" s="89" t="str">
        <f t="shared" si="10"/>
        <v>Evolution de l’intérêt technique (de 2013 à 2014)</v>
      </c>
      <c r="B143" t="s">
        <v>595</v>
      </c>
      <c r="C143" s="100" t="s">
        <v>596</v>
      </c>
    </row>
    <row r="144" spans="1:3" x14ac:dyDescent="0.2">
      <c r="A144" s="107" t="str">
        <f t="shared" ref="A144:A154" si="11">VLOOKUP(B144,B144:C144,language)</f>
        <v>Non défini</v>
      </c>
      <c r="B144" s="1" t="s">
        <v>95</v>
      </c>
      <c r="C144" s="2" t="s">
        <v>340</v>
      </c>
    </row>
    <row r="145" spans="1:3" x14ac:dyDescent="0.2">
      <c r="A145" s="107" t="str">
        <f t="shared" si="11"/>
        <v>0,01 % et plus</v>
      </c>
      <c r="B145" s="1" t="s">
        <v>545</v>
      </c>
      <c r="C145" s="2" t="s">
        <v>535</v>
      </c>
    </row>
    <row r="146" spans="1:3" x14ac:dyDescent="0.2">
      <c r="A146" s="107" t="str">
        <f t="shared" si="11"/>
        <v>Inchangé</v>
      </c>
      <c r="B146" s="108" t="s">
        <v>118</v>
      </c>
      <c r="C146" s="2" t="s">
        <v>302</v>
      </c>
    </row>
    <row r="147" spans="1:3" x14ac:dyDescent="0.2">
      <c r="A147" s="107" t="str">
        <f t="shared" si="11"/>
        <v>De -0,01 à -0,25 %</v>
      </c>
      <c r="B147" s="98" t="s">
        <v>536</v>
      </c>
      <c r="C147" s="1" t="s">
        <v>528</v>
      </c>
    </row>
    <row r="148" spans="1:3" x14ac:dyDescent="0.2">
      <c r="A148" s="107" t="str">
        <f t="shared" si="11"/>
        <v>De -0,26 à -0,50 %</v>
      </c>
      <c r="B148" s="98" t="s">
        <v>537</v>
      </c>
      <c r="C148" s="1" t="s">
        <v>529</v>
      </c>
    </row>
    <row r="149" spans="1:3" x14ac:dyDescent="0.2">
      <c r="A149" s="107" t="str">
        <f t="shared" si="11"/>
        <v>De -0,51 à -0,75 %</v>
      </c>
      <c r="B149" s="98" t="s">
        <v>538</v>
      </c>
      <c r="C149" s="1" t="s">
        <v>530</v>
      </c>
    </row>
    <row r="150" spans="1:3" x14ac:dyDescent="0.2">
      <c r="A150" s="107" t="str">
        <f t="shared" si="11"/>
        <v>De -0,76 à -1,00 %</v>
      </c>
      <c r="B150" s="98" t="s">
        <v>539</v>
      </c>
      <c r="C150" s="1" t="s">
        <v>531</v>
      </c>
    </row>
    <row r="151" spans="1:3" x14ac:dyDescent="0.2">
      <c r="A151" s="107" t="str">
        <f t="shared" si="11"/>
        <v>De -1,01 à -1,50 %</v>
      </c>
      <c r="B151" s="98" t="s">
        <v>540</v>
      </c>
      <c r="C151" s="1" t="s">
        <v>532</v>
      </c>
    </row>
    <row r="152" spans="1:3" x14ac:dyDescent="0.2">
      <c r="A152" s="107" t="str">
        <f t="shared" si="11"/>
        <v>De -1,51 à -2,00 %</v>
      </c>
      <c r="B152" s="98" t="s">
        <v>541</v>
      </c>
      <c r="C152" s="1" t="s">
        <v>533</v>
      </c>
    </row>
    <row r="153" spans="1:3" x14ac:dyDescent="0.2">
      <c r="A153" s="107" t="str">
        <f t="shared" si="11"/>
        <v>De -2,01 à -2,50 %</v>
      </c>
      <c r="B153" s="98" t="s">
        <v>542</v>
      </c>
      <c r="C153" s="1" t="s">
        <v>534</v>
      </c>
    </row>
    <row r="154" spans="1:3" x14ac:dyDescent="0.2">
      <c r="A154" s="107" t="str">
        <f t="shared" si="11"/>
        <v>-2,51 % et moins</v>
      </c>
      <c r="B154" s="98" t="s">
        <v>544</v>
      </c>
      <c r="C154" s="98" t="s">
        <v>543</v>
      </c>
    </row>
    <row r="155" spans="1:3" x14ac:dyDescent="0.2">
      <c r="A155" s="107" t="str">
        <f t="shared" ref="A155" si="12">VLOOKUP(B155,B155:C155,language)</f>
        <v>-1,01 % et moins</v>
      </c>
      <c r="B155" s="98" t="s">
        <v>603</v>
      </c>
      <c r="C155" s="98" t="s">
        <v>604</v>
      </c>
    </row>
    <row r="156" spans="1:3" x14ac:dyDescent="0.2">
      <c r="A156" s="107" t="str">
        <f t="shared" si="10"/>
        <v>Augmentation</v>
      </c>
      <c r="B156" s="1" t="s">
        <v>300</v>
      </c>
      <c r="C156" s="2" t="s">
        <v>301</v>
      </c>
    </row>
    <row r="157" spans="1:3" x14ac:dyDescent="0.2">
      <c r="A157" s="107" t="str">
        <f t="shared" si="10"/>
        <v>Inchangé</v>
      </c>
      <c r="B157" s="1" t="s">
        <v>118</v>
      </c>
      <c r="C157" s="2" t="s">
        <v>302</v>
      </c>
    </row>
    <row r="158" spans="1:3" x14ac:dyDescent="0.2">
      <c r="A158" s="107" t="str">
        <f t="shared" si="10"/>
        <v>Baisse jusqu'à 0,50 %</v>
      </c>
      <c r="B158" s="101" t="s">
        <v>303</v>
      </c>
      <c r="C158" s="2" t="s">
        <v>304</v>
      </c>
    </row>
    <row r="159" spans="1:3" x14ac:dyDescent="0.2">
      <c r="A159" s="107" t="str">
        <f t="shared" si="10"/>
        <v>Baisse de 0,51 à 1,00 %</v>
      </c>
      <c r="B159" s="98" t="s">
        <v>305</v>
      </c>
      <c r="C159" s="2" t="s">
        <v>306</v>
      </c>
    </row>
    <row r="160" spans="1:3" x14ac:dyDescent="0.2">
      <c r="A160" s="107" t="str">
        <f t="shared" si="10"/>
        <v>Baisse supérieure à 1,00 %</v>
      </c>
      <c r="B160" s="98" t="s">
        <v>307</v>
      </c>
      <c r="C160" s="2" t="s">
        <v>308</v>
      </c>
    </row>
    <row r="161" spans="1:3" x14ac:dyDescent="0.2">
      <c r="A161" s="89" t="str">
        <f t="shared" si="10"/>
        <v>Bases biométriques</v>
      </c>
      <c r="B161" t="s">
        <v>49</v>
      </c>
      <c r="C161" t="s">
        <v>197</v>
      </c>
    </row>
    <row r="162" spans="1:3" x14ac:dyDescent="0.2">
      <c r="A162" s="107" t="str">
        <f t="shared" ref="A162:A174" si="13">VLOOKUP(B162,B162:C162,language)</f>
        <v>CFP 1990</v>
      </c>
      <c r="B162" s="1" t="s">
        <v>4</v>
      </c>
      <c r="C162" s="2" t="s">
        <v>562</v>
      </c>
    </row>
    <row r="163" spans="1:3" x14ac:dyDescent="0.2">
      <c r="A163" s="107" t="str">
        <f t="shared" si="13"/>
        <v>CFP 2000</v>
      </c>
      <c r="B163" s="1" t="s">
        <v>5</v>
      </c>
      <c r="C163" s="2" t="s">
        <v>563</v>
      </c>
    </row>
    <row r="164" spans="1:3" x14ac:dyDescent="0.2">
      <c r="A164" s="107" t="str">
        <f t="shared" si="13"/>
        <v>LPP 2000</v>
      </c>
      <c r="B164" s="1" t="s">
        <v>6</v>
      </c>
      <c r="C164" s="2" t="s">
        <v>198</v>
      </c>
    </row>
    <row r="165" spans="1:3" x14ac:dyDescent="0.2">
      <c r="A165" s="107" t="str">
        <f t="shared" si="13"/>
        <v>LPP 2005</v>
      </c>
      <c r="B165" s="1" t="s">
        <v>7</v>
      </c>
      <c r="C165" s="2" t="s">
        <v>199</v>
      </c>
    </row>
    <row r="166" spans="1:3" x14ac:dyDescent="0.2">
      <c r="A166" s="107" t="str">
        <f t="shared" si="13"/>
        <v>LPP 2010</v>
      </c>
      <c r="B166" s="1" t="s">
        <v>8</v>
      </c>
      <c r="C166" s="2" t="s">
        <v>200</v>
      </c>
    </row>
    <row r="167" spans="1:3" x14ac:dyDescent="0.2">
      <c r="A167" s="107" t="str">
        <f t="shared" si="13"/>
        <v>VZ 1990</v>
      </c>
      <c r="B167" s="1" t="s">
        <v>9</v>
      </c>
      <c r="C167" s="1" t="s">
        <v>9</v>
      </c>
    </row>
    <row r="168" spans="1:3" x14ac:dyDescent="0.2">
      <c r="A168" s="107" t="str">
        <f t="shared" si="13"/>
        <v>VZ 2000</v>
      </c>
      <c r="B168" s="1" t="s">
        <v>10</v>
      </c>
      <c r="C168" s="1" t="s">
        <v>10</v>
      </c>
    </row>
    <row r="169" spans="1:3" x14ac:dyDescent="0.2">
      <c r="A169" s="107" t="str">
        <f t="shared" si="13"/>
        <v>VZ 2005</v>
      </c>
      <c r="B169" s="1" t="s">
        <v>11</v>
      </c>
      <c r="C169" s="2" t="s">
        <v>11</v>
      </c>
    </row>
    <row r="170" spans="1:3" x14ac:dyDescent="0.2">
      <c r="A170" s="107" t="str">
        <f t="shared" si="13"/>
        <v>VZ 2010</v>
      </c>
      <c r="B170" s="5" t="s">
        <v>12</v>
      </c>
      <c r="C170" s="1" t="s">
        <v>12</v>
      </c>
    </row>
    <row r="171" spans="1:3" x14ac:dyDescent="0.2">
      <c r="A171" s="107" t="str">
        <f t="shared" si="13"/>
        <v>Autre</v>
      </c>
      <c r="B171" s="5" t="s">
        <v>13</v>
      </c>
      <c r="C171" s="1" t="s">
        <v>196</v>
      </c>
    </row>
    <row r="172" spans="1:3" x14ac:dyDescent="0.2">
      <c r="A172" s="107" t="str">
        <f t="shared" si="13"/>
        <v>Aucune (contrat d'assurance)</v>
      </c>
      <c r="B172" s="5" t="s">
        <v>65</v>
      </c>
      <c r="C172" s="1" t="s">
        <v>564</v>
      </c>
    </row>
    <row r="173" spans="1:3" x14ac:dyDescent="0.2">
      <c r="A173" s="107" t="str">
        <f t="shared" si="13"/>
        <v>Aucune (prestations temporaires)</v>
      </c>
      <c r="B173" s="1" t="s">
        <v>66</v>
      </c>
      <c r="C173" s="1" t="s">
        <v>566</v>
      </c>
    </row>
    <row r="174" spans="1:3" x14ac:dyDescent="0.2">
      <c r="A174" s="107" t="str">
        <f t="shared" si="13"/>
        <v>Aucune (prestations sous forme de capital)</v>
      </c>
      <c r="B174" s="1" t="s">
        <v>117</v>
      </c>
      <c r="C174" s="1" t="s">
        <v>565</v>
      </c>
    </row>
    <row r="175" spans="1:3" x14ac:dyDescent="0.2">
      <c r="A175" s="107" t="str">
        <f t="shared" si="10"/>
        <v>CFP 2000 et plus anciennes</v>
      </c>
      <c r="B175" s="1" t="s">
        <v>309</v>
      </c>
      <c r="C175" s="2" t="s">
        <v>310</v>
      </c>
    </row>
    <row r="176" spans="1:3" x14ac:dyDescent="0.2">
      <c r="A176" s="107" t="str">
        <f t="shared" si="10"/>
        <v>LPP 2005 et plus anciennes</v>
      </c>
      <c r="B176" s="1" t="s">
        <v>311</v>
      </c>
      <c r="C176" s="2" t="s">
        <v>312</v>
      </c>
    </row>
    <row r="177" spans="1:3" x14ac:dyDescent="0.2">
      <c r="A177" s="107" t="str">
        <f t="shared" si="10"/>
        <v>LPP 2010</v>
      </c>
      <c r="B177" s="1" t="s">
        <v>8</v>
      </c>
      <c r="C177" s="2" t="s">
        <v>200</v>
      </c>
    </row>
    <row r="178" spans="1:3" x14ac:dyDescent="0.2">
      <c r="A178" s="107" t="str">
        <f t="shared" si="10"/>
        <v>VZ 2005 et plus anciennes</v>
      </c>
      <c r="B178" s="1" t="s">
        <v>313</v>
      </c>
      <c r="C178" s="2" t="s">
        <v>314</v>
      </c>
    </row>
    <row r="179" spans="1:3" x14ac:dyDescent="0.2">
      <c r="A179" s="107" t="str">
        <f t="shared" si="10"/>
        <v>VZ 2010</v>
      </c>
      <c r="B179" s="1" t="s">
        <v>12</v>
      </c>
      <c r="C179" s="1" t="s">
        <v>12</v>
      </c>
    </row>
    <row r="180" spans="1:3" x14ac:dyDescent="0.2">
      <c r="A180" s="107" t="str">
        <f t="shared" si="10"/>
        <v>Autre</v>
      </c>
      <c r="B180" s="1" t="s">
        <v>13</v>
      </c>
      <c r="C180" s="1" t="s">
        <v>196</v>
      </c>
    </row>
    <row r="181" spans="1:3" x14ac:dyDescent="0.2">
      <c r="A181" s="107" t="str">
        <f t="shared" si="10"/>
        <v>Aucune</v>
      </c>
      <c r="B181" s="1" t="s">
        <v>67</v>
      </c>
      <c r="C181" s="1" t="s">
        <v>201</v>
      </c>
    </row>
    <row r="182" spans="1:3" x14ac:dyDescent="0.2">
      <c r="A182" s="89" t="str">
        <f t="shared" si="10"/>
        <v>Tables périodiques et tables de génération</v>
      </c>
      <c r="B182" t="s">
        <v>232</v>
      </c>
      <c r="C182" t="s">
        <v>315</v>
      </c>
    </row>
    <row r="183" spans="1:3" x14ac:dyDescent="0.2">
      <c r="A183" s="107" t="str">
        <f t="shared" si="10"/>
        <v>Tables périodiques</v>
      </c>
      <c r="B183" s="5" t="s">
        <v>50</v>
      </c>
      <c r="C183" s="1" t="s">
        <v>316</v>
      </c>
    </row>
    <row r="184" spans="1:3" x14ac:dyDescent="0.2">
      <c r="A184" s="107" t="str">
        <f t="shared" si="10"/>
        <v>Tables de génération</v>
      </c>
      <c r="B184" s="5" t="s">
        <v>51</v>
      </c>
      <c r="C184" s="1" t="s">
        <v>317</v>
      </c>
    </row>
    <row r="185" spans="1:3" x14ac:dyDescent="0.2">
      <c r="A185" s="107" t="str">
        <f t="shared" si="10"/>
        <v>Pas de rentes payées directement par l'IP</v>
      </c>
      <c r="B185" s="5" t="s">
        <v>289</v>
      </c>
      <c r="C185" s="1" t="s">
        <v>290</v>
      </c>
    </row>
    <row r="186" spans="1:3" x14ac:dyDescent="0.2">
      <c r="A186" s="89" t="str">
        <f t="shared" si="10"/>
        <v>Taux de couverture calculé sur des bases individuelles</v>
      </c>
      <c r="B186" t="s">
        <v>172</v>
      </c>
      <c r="C186" t="s">
        <v>318</v>
      </c>
    </row>
    <row r="187" spans="1:3" x14ac:dyDescent="0.2">
      <c r="A187" s="89" t="str">
        <f t="shared" si="10"/>
        <v>Taux de couverture calculé sur des bases uniformes</v>
      </c>
      <c r="B187" t="s">
        <v>212</v>
      </c>
      <c r="C187" t="s">
        <v>325</v>
      </c>
    </row>
    <row r="188" spans="1:3" x14ac:dyDescent="0.2">
      <c r="A188" s="107" t="str">
        <f t="shared" si="10"/>
        <v>Moins de 80,0 %</v>
      </c>
      <c r="B188" s="1" t="s">
        <v>567</v>
      </c>
      <c r="C188" s="1" t="s">
        <v>319</v>
      </c>
    </row>
    <row r="189" spans="1:3" x14ac:dyDescent="0.2">
      <c r="A189" s="107" t="str">
        <f t="shared" si="10"/>
        <v>De 80,0 à 89,9 %</v>
      </c>
      <c r="B189" s="1" t="s">
        <v>127</v>
      </c>
      <c r="C189" s="1" t="s">
        <v>320</v>
      </c>
    </row>
    <row r="190" spans="1:3" x14ac:dyDescent="0.2">
      <c r="A190" s="107" t="str">
        <f t="shared" si="10"/>
        <v>De 90,0 à 99,9 %</v>
      </c>
      <c r="B190" s="1" t="s">
        <v>128</v>
      </c>
      <c r="C190" s="1" t="s">
        <v>321</v>
      </c>
    </row>
    <row r="191" spans="1:3" x14ac:dyDescent="0.2">
      <c r="A191" s="107" t="str">
        <f t="shared" si="10"/>
        <v>De 100,0 à 109,9 %</v>
      </c>
      <c r="B191" s="1" t="s">
        <v>129</v>
      </c>
      <c r="C191" s="1" t="s">
        <v>322</v>
      </c>
    </row>
    <row r="192" spans="1:3" x14ac:dyDescent="0.2">
      <c r="A192" s="107" t="str">
        <f t="shared" si="10"/>
        <v>De 110,0 à 119,9 %</v>
      </c>
      <c r="B192" s="1" t="s">
        <v>130</v>
      </c>
      <c r="C192" s="1" t="s">
        <v>323</v>
      </c>
    </row>
    <row r="193" spans="1:3" x14ac:dyDescent="0.2">
      <c r="A193" s="107" t="str">
        <f t="shared" si="10"/>
        <v>120,0 % et plus</v>
      </c>
      <c r="B193" s="1" t="s">
        <v>568</v>
      </c>
      <c r="C193" s="1" t="s">
        <v>324</v>
      </c>
    </row>
    <row r="194" spans="1:3" x14ac:dyDescent="0.2">
      <c r="A194" s="89" t="str">
        <f t="shared" si="10"/>
        <v>Primauté des cotisations et primauté des prestations pour les prestations de vieillesse</v>
      </c>
      <c r="B194" t="s">
        <v>326</v>
      </c>
      <c r="C194" s="100" t="s">
        <v>327</v>
      </c>
    </row>
    <row r="195" spans="1:3" x14ac:dyDescent="0.2">
      <c r="A195" s="107" t="str">
        <f t="shared" si="10"/>
        <v>Primauté des cotisations</v>
      </c>
      <c r="B195" s="1" t="s">
        <v>15</v>
      </c>
      <c r="C195" s="1" t="s">
        <v>193</v>
      </c>
    </row>
    <row r="196" spans="1:3" x14ac:dyDescent="0.2">
      <c r="A196" s="107" t="str">
        <f t="shared" si="10"/>
        <v>Forme mixte</v>
      </c>
      <c r="B196" s="1" t="s">
        <v>17</v>
      </c>
      <c r="C196" s="1" t="s">
        <v>195</v>
      </c>
    </row>
    <row r="197" spans="1:3" x14ac:dyDescent="0.2">
      <c r="A197" s="107" t="str">
        <f t="shared" si="10"/>
        <v>Autre</v>
      </c>
      <c r="B197" s="1" t="s">
        <v>13</v>
      </c>
      <c r="C197" s="1" t="s">
        <v>196</v>
      </c>
    </row>
    <row r="198" spans="1:3" x14ac:dyDescent="0.2">
      <c r="A198" s="107" t="str">
        <f t="shared" si="10"/>
        <v>Primauté des prestations</v>
      </c>
      <c r="B198" s="1" t="s">
        <v>16</v>
      </c>
      <c r="C198" s="1" t="s">
        <v>194</v>
      </c>
    </row>
    <row r="199" spans="1:3" x14ac:dyDescent="0.2">
      <c r="A199" s="107" t="str">
        <f t="shared" si="10"/>
        <v>Caisse ne comptant que des rentiers</v>
      </c>
      <c r="B199" s="1" t="s">
        <v>14</v>
      </c>
      <c r="C199" s="1" t="s">
        <v>328</v>
      </c>
    </row>
    <row r="200" spans="1:3" x14ac:dyDescent="0.2">
      <c r="A200" s="89" t="str">
        <f t="shared" si="10"/>
        <v>Augmentation du taux de couverture par année en cas de cotisation d'assainissement équivalent à 1 % de la masse salariale de base</v>
      </c>
      <c r="B200" t="s">
        <v>329</v>
      </c>
      <c r="C200" t="s">
        <v>330</v>
      </c>
    </row>
    <row r="201" spans="1:3" x14ac:dyDescent="0.2">
      <c r="A201" s="89" t="str">
        <f t="shared" ref="A201" si="14">VLOOKUP(B201,B201:C201,language)</f>
        <v>Augmentation du taux de couverture de</v>
      </c>
      <c r="B201" t="s">
        <v>54</v>
      </c>
      <c r="C201" t="s">
        <v>498</v>
      </c>
    </row>
    <row r="202" spans="1:3" x14ac:dyDescent="0.2">
      <c r="A202" s="107" t="str">
        <f t="shared" si="10"/>
        <v>De 0,00 à 0,19 %</v>
      </c>
      <c r="B202" s="1" t="s">
        <v>131</v>
      </c>
      <c r="C202" s="1" t="s">
        <v>331</v>
      </c>
    </row>
    <row r="203" spans="1:3" x14ac:dyDescent="0.2">
      <c r="A203" s="107" t="str">
        <f t="shared" si="10"/>
        <v>De 0,20 à 0,39 %</v>
      </c>
      <c r="B203" s="1" t="s">
        <v>132</v>
      </c>
      <c r="C203" s="1" t="s">
        <v>332</v>
      </c>
    </row>
    <row r="204" spans="1:3" x14ac:dyDescent="0.2">
      <c r="A204" s="107" t="str">
        <f t="shared" si="10"/>
        <v>De 0,40 à 0,59 %</v>
      </c>
      <c r="B204" s="1" t="s">
        <v>133</v>
      </c>
      <c r="C204" s="1" t="s">
        <v>333</v>
      </c>
    </row>
    <row r="205" spans="1:3" x14ac:dyDescent="0.2">
      <c r="A205" s="107" t="str">
        <f t="shared" si="10"/>
        <v>De 0,60 à 0,79 %</v>
      </c>
      <c r="B205" s="1" t="s">
        <v>134</v>
      </c>
      <c r="C205" s="1" t="s">
        <v>334</v>
      </c>
    </row>
    <row r="206" spans="1:3" x14ac:dyDescent="0.2">
      <c r="A206" s="107" t="str">
        <f t="shared" si="10"/>
        <v>De 0,80 à 0,99 %</v>
      </c>
      <c r="B206" s="1" t="s">
        <v>135</v>
      </c>
      <c r="C206" s="1" t="s">
        <v>335</v>
      </c>
    </row>
    <row r="207" spans="1:3" x14ac:dyDescent="0.2">
      <c r="A207" s="107" t="str">
        <f t="shared" si="10"/>
        <v>1,00 % et plus</v>
      </c>
      <c r="B207" s="1" t="s">
        <v>336</v>
      </c>
      <c r="C207" s="1" t="s">
        <v>337</v>
      </c>
    </row>
    <row r="208" spans="1:3" x14ac:dyDescent="0.2">
      <c r="A208" s="89" t="str">
        <f t="shared" si="10"/>
        <v>Part des avoirs de vieillesse LPP</v>
      </c>
      <c r="B208" t="s">
        <v>338</v>
      </c>
      <c r="C208" t="s">
        <v>339</v>
      </c>
    </row>
    <row r="209" spans="1:3" x14ac:dyDescent="0.2">
      <c r="A209" s="107" t="str">
        <f t="shared" ref="A209:A231" si="15">VLOOKUP(B209,B209:C209,language)</f>
        <v>Non défini</v>
      </c>
      <c r="B209" s="1" t="s">
        <v>95</v>
      </c>
      <c r="C209" s="2" t="s">
        <v>340</v>
      </c>
    </row>
    <row r="210" spans="1:3" x14ac:dyDescent="0.2">
      <c r="A210" s="107" t="str">
        <f t="shared" si="15"/>
        <v>Exactement 0 %</v>
      </c>
      <c r="B210" s="1" t="s">
        <v>96</v>
      </c>
      <c r="C210" s="1" t="s">
        <v>569</v>
      </c>
    </row>
    <row r="211" spans="1:3" x14ac:dyDescent="0.2">
      <c r="A211" s="107" t="str">
        <f t="shared" si="15"/>
        <v>De 1 à 4 %</v>
      </c>
      <c r="B211" s="1" t="s">
        <v>137</v>
      </c>
      <c r="C211" s="1" t="s">
        <v>570</v>
      </c>
    </row>
    <row r="212" spans="1:3" x14ac:dyDescent="0.2">
      <c r="A212" s="107" t="str">
        <f t="shared" si="15"/>
        <v>De 5 à 9 %</v>
      </c>
      <c r="B212" s="1" t="s">
        <v>138</v>
      </c>
      <c r="C212" s="1" t="s">
        <v>392</v>
      </c>
    </row>
    <row r="213" spans="1:3" x14ac:dyDescent="0.2">
      <c r="A213" s="107" t="str">
        <f t="shared" si="15"/>
        <v>De 10 à 14 %</v>
      </c>
      <c r="B213" s="1" t="s">
        <v>139</v>
      </c>
      <c r="C213" s="1" t="s">
        <v>394</v>
      </c>
    </row>
    <row r="214" spans="1:3" x14ac:dyDescent="0.2">
      <c r="A214" s="107" t="str">
        <f t="shared" si="15"/>
        <v>De 15 à 19 %</v>
      </c>
      <c r="B214" s="1" t="s">
        <v>140</v>
      </c>
      <c r="C214" s="1" t="s">
        <v>396</v>
      </c>
    </row>
    <row r="215" spans="1:3" x14ac:dyDescent="0.2">
      <c r="A215" s="107" t="str">
        <f t="shared" si="15"/>
        <v>De 20 à 24 %</v>
      </c>
      <c r="B215" s="103" t="s">
        <v>141</v>
      </c>
      <c r="C215" s="1" t="s">
        <v>398</v>
      </c>
    </row>
    <row r="216" spans="1:3" x14ac:dyDescent="0.2">
      <c r="A216" s="107" t="str">
        <f t="shared" si="15"/>
        <v>De 25 à 29 %</v>
      </c>
      <c r="B216" s="1" t="s">
        <v>142</v>
      </c>
      <c r="C216" s="1" t="s">
        <v>571</v>
      </c>
    </row>
    <row r="217" spans="1:3" x14ac:dyDescent="0.2">
      <c r="A217" s="107" t="str">
        <f t="shared" si="15"/>
        <v>De 30 à 34 %</v>
      </c>
      <c r="B217" s="1" t="s">
        <v>143</v>
      </c>
      <c r="C217" s="1" t="s">
        <v>572</v>
      </c>
    </row>
    <row r="218" spans="1:3" x14ac:dyDescent="0.2">
      <c r="A218" s="107" t="str">
        <f t="shared" si="15"/>
        <v>De 35 à 39 %</v>
      </c>
      <c r="B218" s="1" t="s">
        <v>144</v>
      </c>
      <c r="C218" s="1" t="s">
        <v>573</v>
      </c>
    </row>
    <row r="219" spans="1:3" x14ac:dyDescent="0.2">
      <c r="A219" s="107" t="str">
        <f t="shared" si="15"/>
        <v>De 40 à 44 %</v>
      </c>
      <c r="B219" s="1" t="s">
        <v>145</v>
      </c>
      <c r="C219" s="1" t="s">
        <v>574</v>
      </c>
    </row>
    <row r="220" spans="1:3" x14ac:dyDescent="0.2">
      <c r="A220" s="107" t="str">
        <f t="shared" si="15"/>
        <v>De 45 à 49 %</v>
      </c>
      <c r="B220" s="1" t="s">
        <v>146</v>
      </c>
      <c r="C220" s="1" t="s">
        <v>575</v>
      </c>
    </row>
    <row r="221" spans="1:3" x14ac:dyDescent="0.2">
      <c r="A221" s="107" t="str">
        <f t="shared" si="15"/>
        <v>De 50 à 54 %</v>
      </c>
      <c r="B221" s="1" t="s">
        <v>147</v>
      </c>
      <c r="C221" s="1" t="s">
        <v>576</v>
      </c>
    </row>
    <row r="222" spans="1:3" x14ac:dyDescent="0.2">
      <c r="A222" s="107" t="str">
        <f t="shared" si="15"/>
        <v>De 55 à 59 %</v>
      </c>
      <c r="B222" s="1" t="s">
        <v>148</v>
      </c>
      <c r="C222" s="1" t="s">
        <v>577</v>
      </c>
    </row>
    <row r="223" spans="1:3" x14ac:dyDescent="0.2">
      <c r="A223" s="107" t="str">
        <f t="shared" si="15"/>
        <v>De 60 à 64 %</v>
      </c>
      <c r="B223" s="104" t="s">
        <v>149</v>
      </c>
      <c r="C223" s="1" t="s">
        <v>578</v>
      </c>
    </row>
    <row r="224" spans="1:3" x14ac:dyDescent="0.2">
      <c r="A224" s="107" t="str">
        <f t="shared" si="15"/>
        <v>De 65 à 69 %</v>
      </c>
      <c r="B224" s="1" t="s">
        <v>150</v>
      </c>
      <c r="C224" s="1" t="s">
        <v>579</v>
      </c>
    </row>
    <row r="225" spans="1:3" x14ac:dyDescent="0.2">
      <c r="A225" s="107" t="str">
        <f t="shared" si="15"/>
        <v>De 70 à 74 %</v>
      </c>
      <c r="B225" s="1" t="s">
        <v>151</v>
      </c>
      <c r="C225" s="1" t="s">
        <v>580</v>
      </c>
    </row>
    <row r="226" spans="1:3" x14ac:dyDescent="0.2">
      <c r="A226" s="107" t="str">
        <f t="shared" si="15"/>
        <v>De 75 à 79 %</v>
      </c>
      <c r="B226" s="1" t="s">
        <v>152</v>
      </c>
      <c r="C226" s="1" t="s">
        <v>581</v>
      </c>
    </row>
    <row r="227" spans="1:3" x14ac:dyDescent="0.2">
      <c r="A227" s="107" t="str">
        <f t="shared" si="15"/>
        <v>De 80 à 84 %</v>
      </c>
      <c r="B227" s="1" t="s">
        <v>153</v>
      </c>
      <c r="C227" s="1" t="s">
        <v>582</v>
      </c>
    </row>
    <row r="228" spans="1:3" x14ac:dyDescent="0.2">
      <c r="A228" s="107" t="str">
        <f t="shared" si="15"/>
        <v>De 85 à 89 %</v>
      </c>
      <c r="B228" s="1" t="s">
        <v>154</v>
      </c>
      <c r="C228" s="1" t="s">
        <v>583</v>
      </c>
    </row>
    <row r="229" spans="1:3" x14ac:dyDescent="0.2">
      <c r="A229" s="107" t="str">
        <f t="shared" si="15"/>
        <v>De 90 à 94 %</v>
      </c>
      <c r="B229" s="1" t="s">
        <v>155</v>
      </c>
      <c r="C229" s="1" t="s">
        <v>584</v>
      </c>
    </row>
    <row r="230" spans="1:3" x14ac:dyDescent="0.2">
      <c r="A230" s="107" t="str">
        <f t="shared" si="15"/>
        <v>De 95 à 99 %</v>
      </c>
      <c r="B230" s="1" t="s">
        <v>156</v>
      </c>
      <c r="C230" s="1" t="s">
        <v>585</v>
      </c>
    </row>
    <row r="231" spans="1:3" x14ac:dyDescent="0.2">
      <c r="A231" s="107" t="str">
        <f t="shared" si="15"/>
        <v>Exactement 100 %</v>
      </c>
      <c r="B231" s="1" t="s">
        <v>97</v>
      </c>
      <c r="C231" s="1" t="s">
        <v>586</v>
      </c>
    </row>
    <row r="232" spans="1:3" x14ac:dyDescent="0.2">
      <c r="A232" s="107" t="str">
        <f t="shared" si="10"/>
        <v>Non défini</v>
      </c>
      <c r="B232" s="1" t="s">
        <v>95</v>
      </c>
      <c r="C232" s="2" t="s">
        <v>340</v>
      </c>
    </row>
    <row r="233" spans="1:3" x14ac:dyDescent="0.2">
      <c r="A233" s="107" t="str">
        <f t="shared" si="10"/>
        <v>Moins de 20 %</v>
      </c>
      <c r="B233" s="1" t="s">
        <v>341</v>
      </c>
      <c r="C233" s="1" t="s">
        <v>342</v>
      </c>
    </row>
    <row r="234" spans="1:3" x14ac:dyDescent="0.2">
      <c r="A234" s="107" t="str">
        <f t="shared" si="10"/>
        <v>De 20 à 39 %</v>
      </c>
      <c r="B234" s="1" t="s">
        <v>343</v>
      </c>
      <c r="C234" s="1" t="s">
        <v>344</v>
      </c>
    </row>
    <row r="235" spans="1:3" x14ac:dyDescent="0.2">
      <c r="A235" s="107" t="str">
        <f t="shared" si="10"/>
        <v>De 40 à 59 %</v>
      </c>
      <c r="B235" s="1" t="s">
        <v>345</v>
      </c>
      <c r="C235" s="1" t="s">
        <v>346</v>
      </c>
    </row>
    <row r="236" spans="1:3" x14ac:dyDescent="0.2">
      <c r="A236" s="107" t="str">
        <f t="shared" si="10"/>
        <v>De 60 à 79 %</v>
      </c>
      <c r="B236" s="1" t="s">
        <v>347</v>
      </c>
      <c r="C236" s="1" t="s">
        <v>348</v>
      </c>
    </row>
    <row r="237" spans="1:3" x14ac:dyDescent="0.2">
      <c r="A237" s="107" t="str">
        <f t="shared" si="10"/>
        <v>De 80 à 99 %</v>
      </c>
      <c r="B237" s="1" t="s">
        <v>349</v>
      </c>
      <c r="C237" s="1" t="s">
        <v>350</v>
      </c>
    </row>
    <row r="238" spans="1:3" x14ac:dyDescent="0.2">
      <c r="A238" s="107" t="str">
        <f t="shared" ref="A238:A373" si="16">VLOOKUP(B238,B238:C238,language)</f>
        <v>100 %</v>
      </c>
      <c r="B238" s="103" t="s">
        <v>354</v>
      </c>
      <c r="C238" s="98" t="s">
        <v>351</v>
      </c>
    </row>
    <row r="239" spans="1:3" x14ac:dyDescent="0.2">
      <c r="A239" s="89" t="str">
        <f t="shared" si="16"/>
        <v>Augmentation du taux de couverture par année en cas de réduction de 1 % de la rémunération des avoirs de vieillesse</v>
      </c>
      <c r="B239" t="s">
        <v>352</v>
      </c>
      <c r="C239" s="100" t="s">
        <v>353</v>
      </c>
    </row>
    <row r="240" spans="1:3" x14ac:dyDescent="0.2">
      <c r="A240" s="89" t="str">
        <f t="shared" si="16"/>
        <v>Augmentation du taux de couverture de</v>
      </c>
      <c r="B240" t="s">
        <v>54</v>
      </c>
      <c r="C240" t="s">
        <v>498</v>
      </c>
    </row>
    <row r="241" spans="1:3" x14ac:dyDescent="0.2">
      <c r="A241" s="107" t="str">
        <f t="shared" si="16"/>
        <v>De 0,00 à 0,19 %</v>
      </c>
      <c r="B241" s="1" t="s">
        <v>131</v>
      </c>
      <c r="C241" s="1" t="s">
        <v>331</v>
      </c>
    </row>
    <row r="242" spans="1:3" x14ac:dyDescent="0.2">
      <c r="A242" s="107" t="str">
        <f t="shared" si="16"/>
        <v>De 0,20 à 0,39 %</v>
      </c>
      <c r="B242" s="1" t="s">
        <v>132</v>
      </c>
      <c r="C242" s="1" t="s">
        <v>332</v>
      </c>
    </row>
    <row r="243" spans="1:3" x14ac:dyDescent="0.2">
      <c r="A243" s="107" t="str">
        <f t="shared" si="16"/>
        <v>De 0,40 à 0,59 %</v>
      </c>
      <c r="B243" s="1" t="s">
        <v>133</v>
      </c>
      <c r="C243" s="1" t="s">
        <v>333</v>
      </c>
    </row>
    <row r="244" spans="1:3" x14ac:dyDescent="0.2">
      <c r="A244" s="107" t="str">
        <f t="shared" si="16"/>
        <v>De 0,60 à 0,79 %</v>
      </c>
      <c r="B244" s="1" t="s">
        <v>134</v>
      </c>
      <c r="C244" s="1" t="s">
        <v>334</v>
      </c>
    </row>
    <row r="245" spans="1:3" x14ac:dyDescent="0.2">
      <c r="A245" s="107" t="str">
        <f t="shared" si="16"/>
        <v>De 0,80 à 0,99 %</v>
      </c>
      <c r="B245" s="1" t="s">
        <v>135</v>
      </c>
      <c r="C245" s="1" t="s">
        <v>335</v>
      </c>
    </row>
    <row r="246" spans="1:3" x14ac:dyDescent="0.2">
      <c r="A246" s="107" t="str">
        <f t="shared" si="16"/>
        <v>1,00 %</v>
      </c>
      <c r="B246" s="104" t="s">
        <v>355</v>
      </c>
      <c r="C246" s="1" t="s">
        <v>356</v>
      </c>
    </row>
    <row r="247" spans="1:3" x14ac:dyDescent="0.2">
      <c r="A247" s="89" t="str">
        <f t="shared" si="16"/>
        <v>Stratégie de placement : distribution des principales catégories</v>
      </c>
      <c r="B247" t="s">
        <v>357</v>
      </c>
      <c r="C247" t="s">
        <v>358</v>
      </c>
    </row>
    <row r="248" spans="1:3" x14ac:dyDescent="0.2">
      <c r="A248" s="107" t="str">
        <f t="shared" si="16"/>
        <v>Liquidités</v>
      </c>
      <c r="B248" s="1" t="s">
        <v>18</v>
      </c>
      <c r="C248" s="1" t="s">
        <v>202</v>
      </c>
    </row>
    <row r="249" spans="1:3" x14ac:dyDescent="0.2">
      <c r="A249" s="107" t="str">
        <f t="shared" si="16"/>
        <v>Créances</v>
      </c>
      <c r="B249" s="1" t="s">
        <v>19</v>
      </c>
      <c r="C249" s="1" t="s">
        <v>359</v>
      </c>
    </row>
    <row r="250" spans="1:3" x14ac:dyDescent="0.2">
      <c r="A250" s="107" t="str">
        <f t="shared" si="16"/>
        <v>Biens immobiliers</v>
      </c>
      <c r="B250" s="1" t="s">
        <v>20</v>
      </c>
      <c r="C250" s="1" t="s">
        <v>203</v>
      </c>
    </row>
    <row r="251" spans="1:3" x14ac:dyDescent="0.2">
      <c r="A251" s="107" t="str">
        <f t="shared" si="16"/>
        <v>Actions</v>
      </c>
      <c r="B251" s="1" t="s">
        <v>21</v>
      </c>
      <c r="C251" s="1" t="s">
        <v>204</v>
      </c>
    </row>
    <row r="252" spans="1:3" x14ac:dyDescent="0.2">
      <c r="A252" s="107" t="str">
        <f t="shared" si="16"/>
        <v>Placements alternatifs</v>
      </c>
      <c r="B252" s="1" t="s">
        <v>22</v>
      </c>
      <c r="C252" s="1" t="s">
        <v>205</v>
      </c>
    </row>
    <row r="253" spans="1:3" x14ac:dyDescent="0.2">
      <c r="A253" s="89" t="str">
        <f t="shared" si="16"/>
        <v>Part des valeurs réelles dans les stratégies de placement</v>
      </c>
      <c r="B253" t="s">
        <v>360</v>
      </c>
      <c r="C253" t="s">
        <v>361</v>
      </c>
    </row>
    <row r="254" spans="1:3" x14ac:dyDescent="0.2">
      <c r="A254" s="107" t="str">
        <f t="shared" si="16"/>
        <v>Non défini</v>
      </c>
      <c r="B254" s="1" t="s">
        <v>95</v>
      </c>
      <c r="C254" s="2" t="s">
        <v>340</v>
      </c>
    </row>
    <row r="255" spans="1:3" x14ac:dyDescent="0.2">
      <c r="A255" s="107" t="str">
        <f t="shared" si="16"/>
        <v>Exactement 0 %</v>
      </c>
      <c r="B255" s="1" t="s">
        <v>96</v>
      </c>
      <c r="C255" s="1" t="s">
        <v>569</v>
      </c>
    </row>
    <row r="256" spans="1:3" x14ac:dyDescent="0.2">
      <c r="A256" s="107" t="str">
        <f t="shared" si="16"/>
        <v>De 1 à 4 %</v>
      </c>
      <c r="B256" s="1" t="s">
        <v>137</v>
      </c>
      <c r="C256" s="1" t="s">
        <v>570</v>
      </c>
    </row>
    <row r="257" spans="1:3" x14ac:dyDescent="0.2">
      <c r="A257" s="107" t="str">
        <f t="shared" si="16"/>
        <v>De 5 à 9 %</v>
      </c>
      <c r="B257" s="1" t="s">
        <v>138</v>
      </c>
      <c r="C257" s="1" t="s">
        <v>392</v>
      </c>
    </row>
    <row r="258" spans="1:3" x14ac:dyDescent="0.2">
      <c r="A258" s="107" t="str">
        <f t="shared" si="16"/>
        <v>De 10 à 14 %</v>
      </c>
      <c r="B258" s="1" t="s">
        <v>139</v>
      </c>
      <c r="C258" s="1" t="s">
        <v>394</v>
      </c>
    </row>
    <row r="259" spans="1:3" x14ac:dyDescent="0.2">
      <c r="A259" s="107" t="str">
        <f t="shared" si="16"/>
        <v>De 15 à 19 %</v>
      </c>
      <c r="B259" s="1" t="s">
        <v>140</v>
      </c>
      <c r="C259" s="1" t="s">
        <v>396</v>
      </c>
    </row>
    <row r="260" spans="1:3" x14ac:dyDescent="0.2">
      <c r="A260" s="107" t="str">
        <f t="shared" si="16"/>
        <v>De 20 à 24 %</v>
      </c>
      <c r="B260" s="103" t="s">
        <v>141</v>
      </c>
      <c r="C260" s="1" t="s">
        <v>398</v>
      </c>
    </row>
    <row r="261" spans="1:3" x14ac:dyDescent="0.2">
      <c r="A261" s="107" t="str">
        <f t="shared" si="16"/>
        <v>De 25 à 29 %</v>
      </c>
      <c r="B261" s="1" t="s">
        <v>142</v>
      </c>
      <c r="C261" s="1" t="s">
        <v>571</v>
      </c>
    </row>
    <row r="262" spans="1:3" x14ac:dyDescent="0.2">
      <c r="A262" s="107" t="str">
        <f t="shared" si="16"/>
        <v>De 30 à 34 %</v>
      </c>
      <c r="B262" s="1" t="s">
        <v>143</v>
      </c>
      <c r="C262" s="1" t="s">
        <v>572</v>
      </c>
    </row>
    <row r="263" spans="1:3" x14ac:dyDescent="0.2">
      <c r="A263" s="107" t="str">
        <f t="shared" si="16"/>
        <v>De 35 à 39 %</v>
      </c>
      <c r="B263" s="1" t="s">
        <v>144</v>
      </c>
      <c r="C263" s="1" t="s">
        <v>573</v>
      </c>
    </row>
    <row r="264" spans="1:3" x14ac:dyDescent="0.2">
      <c r="A264" s="107" t="str">
        <f t="shared" si="16"/>
        <v>De 40 à 44 %</v>
      </c>
      <c r="B264" s="1" t="s">
        <v>145</v>
      </c>
      <c r="C264" s="1" t="s">
        <v>574</v>
      </c>
    </row>
    <row r="265" spans="1:3" x14ac:dyDescent="0.2">
      <c r="A265" s="107" t="str">
        <f t="shared" si="16"/>
        <v>De 45 à 49 %</v>
      </c>
      <c r="B265" s="1" t="s">
        <v>146</v>
      </c>
      <c r="C265" s="1" t="s">
        <v>575</v>
      </c>
    </row>
    <row r="266" spans="1:3" x14ac:dyDescent="0.2">
      <c r="A266" s="107" t="str">
        <f t="shared" si="16"/>
        <v>De 50 à 54 %</v>
      </c>
      <c r="B266" s="1" t="s">
        <v>147</v>
      </c>
      <c r="C266" s="1" t="s">
        <v>576</v>
      </c>
    </row>
    <row r="267" spans="1:3" x14ac:dyDescent="0.2">
      <c r="A267" s="107" t="str">
        <f t="shared" si="16"/>
        <v>De 55 à 59 %</v>
      </c>
      <c r="B267" s="1" t="s">
        <v>148</v>
      </c>
      <c r="C267" s="1" t="s">
        <v>577</v>
      </c>
    </row>
    <row r="268" spans="1:3" x14ac:dyDescent="0.2">
      <c r="A268" s="107" t="str">
        <f t="shared" si="16"/>
        <v>De 60 à 64 %</v>
      </c>
      <c r="B268" s="104" t="s">
        <v>149</v>
      </c>
      <c r="C268" s="1" t="s">
        <v>578</v>
      </c>
    </row>
    <row r="269" spans="1:3" x14ac:dyDescent="0.2">
      <c r="A269" s="107" t="str">
        <f t="shared" si="16"/>
        <v>De 65 à 69 %</v>
      </c>
      <c r="B269" s="1" t="s">
        <v>150</v>
      </c>
      <c r="C269" s="1" t="s">
        <v>579</v>
      </c>
    </row>
    <row r="270" spans="1:3" x14ac:dyDescent="0.2">
      <c r="A270" s="107" t="str">
        <f t="shared" si="16"/>
        <v>De 70 à 74 %</v>
      </c>
      <c r="B270" s="1" t="s">
        <v>151</v>
      </c>
      <c r="C270" s="1" t="s">
        <v>580</v>
      </c>
    </row>
    <row r="271" spans="1:3" x14ac:dyDescent="0.2">
      <c r="A271" s="107" t="str">
        <f t="shared" si="16"/>
        <v>De 75 à 79 %</v>
      </c>
      <c r="B271" s="1" t="s">
        <v>152</v>
      </c>
      <c r="C271" s="1" t="s">
        <v>581</v>
      </c>
    </row>
    <row r="272" spans="1:3" x14ac:dyDescent="0.2">
      <c r="A272" s="107" t="str">
        <f t="shared" si="16"/>
        <v>De 80 à 84 %</v>
      </c>
      <c r="B272" s="1" t="s">
        <v>153</v>
      </c>
      <c r="C272" s="1" t="s">
        <v>582</v>
      </c>
    </row>
    <row r="273" spans="1:3" x14ac:dyDescent="0.2">
      <c r="A273" s="107" t="str">
        <f t="shared" si="16"/>
        <v>De 85 à 89 %</v>
      </c>
      <c r="B273" s="1" t="s">
        <v>154</v>
      </c>
      <c r="C273" s="1" t="s">
        <v>583</v>
      </c>
    </row>
    <row r="274" spans="1:3" x14ac:dyDescent="0.2">
      <c r="A274" s="107" t="str">
        <f t="shared" si="16"/>
        <v>De 90 à 94 %</v>
      </c>
      <c r="B274" s="1" t="s">
        <v>155</v>
      </c>
      <c r="C274" s="1" t="s">
        <v>584</v>
      </c>
    </row>
    <row r="275" spans="1:3" x14ac:dyDescent="0.2">
      <c r="A275" s="107" t="str">
        <f t="shared" si="16"/>
        <v>De 95 à 99 %</v>
      </c>
      <c r="B275" s="1" t="s">
        <v>156</v>
      </c>
      <c r="C275" s="1" t="s">
        <v>585</v>
      </c>
    </row>
    <row r="276" spans="1:3" x14ac:dyDescent="0.2">
      <c r="A276" s="107" t="str">
        <f t="shared" si="16"/>
        <v>Exactement 100 %</v>
      </c>
      <c r="B276" s="1" t="s">
        <v>97</v>
      </c>
      <c r="C276" s="1" t="s">
        <v>586</v>
      </c>
    </row>
    <row r="277" spans="1:3" x14ac:dyDescent="0.2">
      <c r="A277" s="107" t="str">
        <f t="shared" si="16"/>
        <v>Moins de 40 %</v>
      </c>
      <c r="B277" s="1" t="s">
        <v>362</v>
      </c>
      <c r="C277" s="1" t="s">
        <v>363</v>
      </c>
    </row>
    <row r="278" spans="1:3" x14ac:dyDescent="0.2">
      <c r="A278" s="107" t="str">
        <f t="shared" si="16"/>
        <v>De 40 à 49 %</v>
      </c>
      <c r="B278" s="98" t="s">
        <v>364</v>
      </c>
      <c r="C278" s="1" t="s">
        <v>365</v>
      </c>
    </row>
    <row r="279" spans="1:3" x14ac:dyDescent="0.2">
      <c r="A279" s="107" t="str">
        <f t="shared" si="16"/>
        <v>De 50 à 59 %</v>
      </c>
      <c r="B279" s="98" t="s">
        <v>366</v>
      </c>
      <c r="C279" s="1" t="s">
        <v>367</v>
      </c>
    </row>
    <row r="280" spans="1:3" x14ac:dyDescent="0.2">
      <c r="A280" s="107" t="str">
        <f t="shared" si="16"/>
        <v>De 60 à 69 %</v>
      </c>
      <c r="B280" s="98" t="s">
        <v>368</v>
      </c>
      <c r="C280" s="1" t="s">
        <v>369</v>
      </c>
    </row>
    <row r="281" spans="1:3" x14ac:dyDescent="0.2">
      <c r="A281" s="107" t="str">
        <f t="shared" si="16"/>
        <v>70 % et plus</v>
      </c>
      <c r="B281" s="1" t="s">
        <v>370</v>
      </c>
      <c r="C281" s="1" t="s">
        <v>371</v>
      </c>
    </row>
    <row r="282" spans="1:3" x14ac:dyDescent="0.2">
      <c r="A282" s="89" t="str">
        <f t="shared" si="16"/>
        <v>Stratégie de placement : répartition dans les nouvelles sous-catégories</v>
      </c>
      <c r="B282" t="s">
        <v>512</v>
      </c>
      <c r="C282" t="s">
        <v>513</v>
      </c>
    </row>
    <row r="283" spans="1:3" x14ac:dyDescent="0.2">
      <c r="A283" s="89" t="str">
        <f t="shared" si="16"/>
        <v>Répartition de la stratégie de placement</v>
      </c>
      <c r="B283" t="s">
        <v>102</v>
      </c>
      <c r="C283" t="s">
        <v>514</v>
      </c>
    </row>
    <row r="284" spans="1:3" x14ac:dyDescent="0.2">
      <c r="A284" s="107" t="str">
        <f t="shared" si="16"/>
        <v>Liquidités</v>
      </c>
      <c r="B284" s="1" t="s">
        <v>18</v>
      </c>
      <c r="C284" s="1" t="s">
        <v>202</v>
      </c>
    </row>
    <row r="285" spans="1:3" x14ac:dyDescent="0.2">
      <c r="A285" s="107" t="str">
        <f t="shared" si="16"/>
        <v>Obligations d’Etat CHF</v>
      </c>
      <c r="B285" s="1" t="s">
        <v>161</v>
      </c>
      <c r="C285" s="1" t="s">
        <v>372</v>
      </c>
    </row>
    <row r="286" spans="1:3" x14ac:dyDescent="0.2">
      <c r="A286" s="107" t="str">
        <f t="shared" si="16"/>
        <v>Obligations d’entreprises CHF</v>
      </c>
      <c r="B286" s="1" t="s">
        <v>162</v>
      </c>
      <c r="C286" s="1" t="s">
        <v>373</v>
      </c>
    </row>
    <row r="287" spans="1:3" x14ac:dyDescent="0.2">
      <c r="A287" s="107" t="str">
        <f t="shared" si="16"/>
        <v>Obligations en devises étrangères</v>
      </c>
      <c r="B287" s="1" t="s">
        <v>163</v>
      </c>
      <c r="C287" s="1" t="s">
        <v>374</v>
      </c>
    </row>
    <row r="288" spans="1:3" x14ac:dyDescent="0.2">
      <c r="A288" s="107" t="str">
        <f t="shared" si="16"/>
        <v>Immobilier résidentiel suisse, placements directs</v>
      </c>
      <c r="B288" s="1" t="s">
        <v>103</v>
      </c>
      <c r="C288" s="1" t="s">
        <v>375</v>
      </c>
    </row>
    <row r="289" spans="1:3" x14ac:dyDescent="0.2">
      <c r="A289" s="107" t="str">
        <f t="shared" si="16"/>
        <v>Immobilier commercial suisse, placements directs</v>
      </c>
      <c r="B289" s="1" t="s">
        <v>104</v>
      </c>
      <c r="C289" s="1" t="s">
        <v>376</v>
      </c>
    </row>
    <row r="290" spans="1:3" x14ac:dyDescent="0.2">
      <c r="A290" s="107" t="str">
        <f t="shared" si="16"/>
        <v xml:space="preserve">Fonds immobiliers suisses </v>
      </c>
      <c r="B290" s="1" t="s">
        <v>105</v>
      </c>
      <c r="C290" s="1" t="s">
        <v>377</v>
      </c>
    </row>
    <row r="291" spans="1:3" x14ac:dyDescent="0.2">
      <c r="A291" s="107" t="str">
        <f t="shared" si="16"/>
        <v>Immobilier à l’étranger</v>
      </c>
      <c r="B291" s="1" t="s">
        <v>106</v>
      </c>
      <c r="C291" s="1" t="s">
        <v>378</v>
      </c>
    </row>
    <row r="292" spans="1:3" x14ac:dyDescent="0.2">
      <c r="A292" s="107" t="str">
        <f t="shared" si="16"/>
        <v>Actions suisses</v>
      </c>
      <c r="B292" s="1" t="s">
        <v>107</v>
      </c>
      <c r="C292" s="1" t="s">
        <v>379</v>
      </c>
    </row>
    <row r="293" spans="1:3" x14ac:dyDescent="0.2">
      <c r="A293" s="107" t="str">
        <f t="shared" si="16"/>
        <v>Actions pays industrialisés</v>
      </c>
      <c r="B293" s="1" t="s">
        <v>108</v>
      </c>
      <c r="C293" s="1" t="s">
        <v>380</v>
      </c>
    </row>
    <row r="294" spans="1:3" x14ac:dyDescent="0.2">
      <c r="A294" s="107" t="str">
        <f t="shared" si="16"/>
        <v>Actions pays émergents</v>
      </c>
      <c r="B294" s="1" t="s">
        <v>109</v>
      </c>
      <c r="C294" s="1" t="s">
        <v>381</v>
      </c>
    </row>
    <row r="295" spans="1:3" x14ac:dyDescent="0.2">
      <c r="A295" s="107" t="str">
        <f t="shared" si="16"/>
        <v>Hedge funds</v>
      </c>
      <c r="B295" s="1" t="s">
        <v>110</v>
      </c>
      <c r="C295" s="1" t="s">
        <v>382</v>
      </c>
    </row>
    <row r="296" spans="1:3" x14ac:dyDescent="0.2">
      <c r="A296" s="107" t="str">
        <f t="shared" si="16"/>
        <v>Private equity</v>
      </c>
      <c r="B296" s="1" t="s">
        <v>111</v>
      </c>
      <c r="C296" s="1" t="s">
        <v>383</v>
      </c>
    </row>
    <row r="297" spans="1:3" x14ac:dyDescent="0.2">
      <c r="A297" s="107" t="str">
        <f t="shared" si="16"/>
        <v>Placements d’infrastructures</v>
      </c>
      <c r="B297" s="1" t="s">
        <v>112</v>
      </c>
      <c r="C297" s="1" t="s">
        <v>384</v>
      </c>
    </row>
    <row r="298" spans="1:3" x14ac:dyDescent="0.2">
      <c r="A298" s="107" t="str">
        <f t="shared" si="16"/>
        <v>Créances alternatives</v>
      </c>
      <c r="B298" s="1" t="s">
        <v>113</v>
      </c>
      <c r="C298" s="1" t="s">
        <v>385</v>
      </c>
    </row>
    <row r="299" spans="1:3" x14ac:dyDescent="0.2">
      <c r="A299" s="107" t="str">
        <f t="shared" si="16"/>
        <v>Autres placements alternatifs</v>
      </c>
      <c r="B299" s="1" t="s">
        <v>114</v>
      </c>
      <c r="C299" s="1" t="s">
        <v>386</v>
      </c>
    </row>
    <row r="300" spans="1:3" x14ac:dyDescent="0.2">
      <c r="A300" s="89" t="str">
        <f t="shared" si="16"/>
        <v>stratégie de placement pondérée en fonction de la somme du bilan</v>
      </c>
      <c r="B300" t="s">
        <v>526</v>
      </c>
      <c r="C300" t="s">
        <v>525</v>
      </c>
    </row>
    <row r="301" spans="1:3" x14ac:dyDescent="0.2">
      <c r="A301" s="89" t="str">
        <f t="shared" si="16"/>
        <v>Exposition au risque de change</v>
      </c>
      <c r="B301" t="s">
        <v>387</v>
      </c>
      <c r="C301" t="s">
        <v>388</v>
      </c>
    </row>
    <row r="302" spans="1:3" x14ac:dyDescent="0.2">
      <c r="A302" s="107" t="str">
        <f t="shared" ref="A302:A324" si="17">VLOOKUP(B302,B302:C302,language)</f>
        <v>Non défini</v>
      </c>
      <c r="B302" s="1" t="s">
        <v>95</v>
      </c>
      <c r="C302" s="2" t="s">
        <v>340</v>
      </c>
    </row>
    <row r="303" spans="1:3" x14ac:dyDescent="0.2">
      <c r="A303" s="107" t="str">
        <f t="shared" si="17"/>
        <v>Exactement 0 %</v>
      </c>
      <c r="B303" s="1" t="s">
        <v>96</v>
      </c>
      <c r="C303" s="1" t="s">
        <v>569</v>
      </c>
    </row>
    <row r="304" spans="1:3" x14ac:dyDescent="0.2">
      <c r="A304" s="107" t="str">
        <f t="shared" si="17"/>
        <v>De 1 à 4 %</v>
      </c>
      <c r="B304" s="1" t="s">
        <v>137</v>
      </c>
      <c r="C304" s="1" t="s">
        <v>570</v>
      </c>
    </row>
    <row r="305" spans="1:3" x14ac:dyDescent="0.2">
      <c r="A305" s="107" t="str">
        <f t="shared" si="17"/>
        <v>De 5 à 9 %</v>
      </c>
      <c r="B305" s="1" t="s">
        <v>138</v>
      </c>
      <c r="C305" s="1" t="s">
        <v>392</v>
      </c>
    </row>
    <row r="306" spans="1:3" x14ac:dyDescent="0.2">
      <c r="A306" s="107" t="str">
        <f t="shared" si="17"/>
        <v>De 10 à 14 %</v>
      </c>
      <c r="B306" s="1" t="s">
        <v>139</v>
      </c>
      <c r="C306" s="1" t="s">
        <v>394</v>
      </c>
    </row>
    <row r="307" spans="1:3" x14ac:dyDescent="0.2">
      <c r="A307" s="107" t="str">
        <f t="shared" si="17"/>
        <v>De 15 à 19 %</v>
      </c>
      <c r="B307" s="1" t="s">
        <v>140</v>
      </c>
      <c r="C307" s="1" t="s">
        <v>396</v>
      </c>
    </row>
    <row r="308" spans="1:3" x14ac:dyDescent="0.2">
      <c r="A308" s="107" t="str">
        <f t="shared" si="17"/>
        <v>De 20 à 24 %</v>
      </c>
      <c r="B308" s="103" t="s">
        <v>141</v>
      </c>
      <c r="C308" s="1" t="s">
        <v>398</v>
      </c>
    </row>
    <row r="309" spans="1:3" x14ac:dyDescent="0.2">
      <c r="A309" s="107" t="str">
        <f t="shared" si="17"/>
        <v>De 25 à 29 %</v>
      </c>
      <c r="B309" s="1" t="s">
        <v>142</v>
      </c>
      <c r="C309" s="1" t="s">
        <v>571</v>
      </c>
    </row>
    <row r="310" spans="1:3" x14ac:dyDescent="0.2">
      <c r="A310" s="107" t="str">
        <f t="shared" si="17"/>
        <v>De 30 à 34 %</v>
      </c>
      <c r="B310" s="1" t="s">
        <v>143</v>
      </c>
      <c r="C310" s="1" t="s">
        <v>572</v>
      </c>
    </row>
    <row r="311" spans="1:3" x14ac:dyDescent="0.2">
      <c r="A311" s="107" t="str">
        <f t="shared" si="17"/>
        <v>De 35 à 39 %</v>
      </c>
      <c r="B311" s="1" t="s">
        <v>144</v>
      </c>
      <c r="C311" s="1" t="s">
        <v>573</v>
      </c>
    </row>
    <row r="312" spans="1:3" x14ac:dyDescent="0.2">
      <c r="A312" s="107" t="str">
        <f t="shared" si="17"/>
        <v>De 40 à 44 %</v>
      </c>
      <c r="B312" s="1" t="s">
        <v>145</v>
      </c>
      <c r="C312" s="1" t="s">
        <v>574</v>
      </c>
    </row>
    <row r="313" spans="1:3" x14ac:dyDescent="0.2">
      <c r="A313" s="107" t="str">
        <f t="shared" si="17"/>
        <v>De 45 à 49 %</v>
      </c>
      <c r="B313" s="1" t="s">
        <v>146</v>
      </c>
      <c r="C313" s="1" t="s">
        <v>575</v>
      </c>
    </row>
    <row r="314" spans="1:3" x14ac:dyDescent="0.2">
      <c r="A314" s="107" t="str">
        <f t="shared" si="17"/>
        <v>De 50 à 54 %</v>
      </c>
      <c r="B314" s="1" t="s">
        <v>147</v>
      </c>
      <c r="C314" s="1" t="s">
        <v>576</v>
      </c>
    </row>
    <row r="315" spans="1:3" x14ac:dyDescent="0.2">
      <c r="A315" s="107" t="str">
        <f t="shared" si="17"/>
        <v>De 55 à 59 %</v>
      </c>
      <c r="B315" s="1" t="s">
        <v>148</v>
      </c>
      <c r="C315" s="1" t="s">
        <v>577</v>
      </c>
    </row>
    <row r="316" spans="1:3" x14ac:dyDescent="0.2">
      <c r="A316" s="107" t="str">
        <f t="shared" si="17"/>
        <v>De 60 à 64 %</v>
      </c>
      <c r="B316" s="104" t="s">
        <v>149</v>
      </c>
      <c r="C316" s="1" t="s">
        <v>578</v>
      </c>
    </row>
    <row r="317" spans="1:3" x14ac:dyDescent="0.2">
      <c r="A317" s="107" t="str">
        <f t="shared" si="17"/>
        <v>De 65 à 69 %</v>
      </c>
      <c r="B317" s="1" t="s">
        <v>150</v>
      </c>
      <c r="C317" s="1" t="s">
        <v>579</v>
      </c>
    </row>
    <row r="318" spans="1:3" x14ac:dyDescent="0.2">
      <c r="A318" s="107" t="str">
        <f t="shared" si="17"/>
        <v>De 70 à 74 %</v>
      </c>
      <c r="B318" s="1" t="s">
        <v>151</v>
      </c>
      <c r="C318" s="1" t="s">
        <v>580</v>
      </c>
    </row>
    <row r="319" spans="1:3" x14ac:dyDescent="0.2">
      <c r="A319" s="107" t="str">
        <f t="shared" si="17"/>
        <v>De 75 à 79 %</v>
      </c>
      <c r="B319" s="1" t="s">
        <v>152</v>
      </c>
      <c r="C319" s="1" t="s">
        <v>581</v>
      </c>
    </row>
    <row r="320" spans="1:3" x14ac:dyDescent="0.2">
      <c r="A320" s="107" t="str">
        <f t="shared" si="17"/>
        <v>De 80 à 84 %</v>
      </c>
      <c r="B320" s="1" t="s">
        <v>153</v>
      </c>
      <c r="C320" s="1" t="s">
        <v>582</v>
      </c>
    </row>
    <row r="321" spans="1:3" x14ac:dyDescent="0.2">
      <c r="A321" s="107" t="str">
        <f t="shared" si="17"/>
        <v>De 85 à 89 %</v>
      </c>
      <c r="B321" s="1" t="s">
        <v>154</v>
      </c>
      <c r="C321" s="1" t="s">
        <v>583</v>
      </c>
    </row>
    <row r="322" spans="1:3" x14ac:dyDescent="0.2">
      <c r="A322" s="107" t="str">
        <f t="shared" si="17"/>
        <v>De 90 à 94 %</v>
      </c>
      <c r="B322" s="1" t="s">
        <v>155</v>
      </c>
      <c r="C322" s="1" t="s">
        <v>584</v>
      </c>
    </row>
    <row r="323" spans="1:3" x14ac:dyDescent="0.2">
      <c r="A323" s="107" t="str">
        <f t="shared" si="17"/>
        <v>De 95 à 99 %</v>
      </c>
      <c r="B323" s="1" t="s">
        <v>156</v>
      </c>
      <c r="C323" s="1" t="s">
        <v>585</v>
      </c>
    </row>
    <row r="324" spans="1:3" x14ac:dyDescent="0.2">
      <c r="A324" s="107" t="str">
        <f t="shared" si="17"/>
        <v>Exactement 100 %</v>
      </c>
      <c r="B324" s="1" t="s">
        <v>97</v>
      </c>
      <c r="C324" s="1" t="s">
        <v>586</v>
      </c>
    </row>
    <row r="325" spans="1:3" x14ac:dyDescent="0.2">
      <c r="A325" s="107" t="str">
        <f t="shared" si="16"/>
        <v>Moins de 5 %</v>
      </c>
      <c r="B325" s="98" t="s">
        <v>389</v>
      </c>
      <c r="C325" s="1" t="s">
        <v>390</v>
      </c>
    </row>
    <row r="326" spans="1:3" x14ac:dyDescent="0.2">
      <c r="A326" s="107" t="str">
        <f t="shared" si="16"/>
        <v>De 5 à 9 %</v>
      </c>
      <c r="B326" s="98" t="s">
        <v>391</v>
      </c>
      <c r="C326" s="1" t="s">
        <v>392</v>
      </c>
    </row>
    <row r="327" spans="1:3" x14ac:dyDescent="0.2">
      <c r="A327" s="107" t="str">
        <f t="shared" si="16"/>
        <v>De 10 à 14 %</v>
      </c>
      <c r="B327" s="98" t="s">
        <v>393</v>
      </c>
      <c r="C327" s="1" t="s">
        <v>394</v>
      </c>
    </row>
    <row r="328" spans="1:3" x14ac:dyDescent="0.2">
      <c r="A328" s="107" t="str">
        <f t="shared" si="16"/>
        <v>De 15 à 19 %</v>
      </c>
      <c r="B328" s="98" t="s">
        <v>395</v>
      </c>
      <c r="C328" s="1" t="s">
        <v>396</v>
      </c>
    </row>
    <row r="329" spans="1:3" x14ac:dyDescent="0.2">
      <c r="A329" s="107" t="str">
        <f t="shared" si="16"/>
        <v>De 20 à 24 %</v>
      </c>
      <c r="B329" s="98" t="s">
        <v>397</v>
      </c>
      <c r="C329" s="1" t="s">
        <v>398</v>
      </c>
    </row>
    <row r="330" spans="1:3" x14ac:dyDescent="0.2">
      <c r="A330" s="107" t="str">
        <f t="shared" si="16"/>
        <v>25 % et plus</v>
      </c>
      <c r="B330" s="1" t="s">
        <v>399</v>
      </c>
      <c r="C330" s="1" t="s">
        <v>400</v>
      </c>
    </row>
    <row r="331" spans="1:3" x14ac:dyDescent="0.2">
      <c r="A331" s="89" t="str">
        <f t="shared" si="16"/>
        <v>Volatilité attendue</v>
      </c>
      <c r="B331" t="s">
        <v>401</v>
      </c>
      <c r="C331" t="s">
        <v>402</v>
      </c>
    </row>
    <row r="332" spans="1:3" x14ac:dyDescent="0.2">
      <c r="A332" s="107" t="str">
        <f t="shared" si="16"/>
        <v>Non défini</v>
      </c>
      <c r="B332" s="1" t="s">
        <v>95</v>
      </c>
      <c r="C332" s="2" t="s">
        <v>340</v>
      </c>
    </row>
    <row r="333" spans="1:3" x14ac:dyDescent="0.2">
      <c r="A333" s="107" t="str">
        <f t="shared" si="16"/>
        <v>Moins de 1 %</v>
      </c>
      <c r="B333" s="1" t="s">
        <v>119</v>
      </c>
      <c r="C333" s="2" t="s">
        <v>403</v>
      </c>
    </row>
    <row r="334" spans="1:3" x14ac:dyDescent="0.2">
      <c r="A334" s="107" t="str">
        <f t="shared" si="16"/>
        <v>De 1,0 à 2,9 %</v>
      </c>
      <c r="B334" s="1" t="s">
        <v>404</v>
      </c>
      <c r="C334" s="1" t="s">
        <v>405</v>
      </c>
    </row>
    <row r="335" spans="1:3" x14ac:dyDescent="0.2">
      <c r="A335" s="107" t="str">
        <f t="shared" si="16"/>
        <v>De 3,0 à 4,9 %</v>
      </c>
      <c r="B335" s="1" t="s">
        <v>406</v>
      </c>
      <c r="C335" s="1" t="s">
        <v>407</v>
      </c>
    </row>
    <row r="336" spans="1:3" x14ac:dyDescent="0.2">
      <c r="A336" s="107" t="str">
        <f t="shared" si="16"/>
        <v>De 5,0 à 6,9 %</v>
      </c>
      <c r="B336" s="1" t="s">
        <v>408</v>
      </c>
      <c r="C336" s="1" t="s">
        <v>409</v>
      </c>
    </row>
    <row r="337" spans="1:3" x14ac:dyDescent="0.2">
      <c r="A337" s="107" t="str">
        <f t="shared" si="16"/>
        <v>De 7,0 à 8,9 %</v>
      </c>
      <c r="B337" s="1" t="s">
        <v>410</v>
      </c>
      <c r="C337" s="1" t="s">
        <v>411</v>
      </c>
    </row>
    <row r="338" spans="1:3" x14ac:dyDescent="0.2">
      <c r="A338" s="107" t="str">
        <f t="shared" si="16"/>
        <v>9 % et plus</v>
      </c>
      <c r="B338" s="102" t="s">
        <v>412</v>
      </c>
      <c r="C338" s="1" t="s">
        <v>413</v>
      </c>
    </row>
    <row r="339" spans="1:3" x14ac:dyDescent="0.2">
      <c r="A339" s="89" t="str">
        <f t="shared" si="16"/>
        <v>Objectif des réserves de fluctuation de valeur</v>
      </c>
      <c r="B339" t="s">
        <v>414</v>
      </c>
      <c r="C339" t="s">
        <v>415</v>
      </c>
    </row>
    <row r="340" spans="1:3" x14ac:dyDescent="0.2">
      <c r="A340" s="107" t="str">
        <f t="shared" si="16"/>
        <v>Non défini</v>
      </c>
      <c r="B340" s="1" t="s">
        <v>95</v>
      </c>
      <c r="C340" s="2" t="s">
        <v>340</v>
      </c>
    </row>
    <row r="341" spans="1:3" x14ac:dyDescent="0.2">
      <c r="A341" s="107" t="str">
        <f t="shared" si="16"/>
        <v>Exactement 0 %</v>
      </c>
      <c r="B341" s="1" t="s">
        <v>96</v>
      </c>
      <c r="C341" s="1" t="s">
        <v>569</v>
      </c>
    </row>
    <row r="342" spans="1:3" x14ac:dyDescent="0.2">
      <c r="A342" s="107" t="str">
        <f t="shared" si="16"/>
        <v>De 1 à 4 %</v>
      </c>
      <c r="B342" s="1" t="s">
        <v>137</v>
      </c>
      <c r="C342" s="1" t="s">
        <v>570</v>
      </c>
    </row>
    <row r="343" spans="1:3" x14ac:dyDescent="0.2">
      <c r="A343" s="107" t="str">
        <f t="shared" si="16"/>
        <v>De 5 à 9 %</v>
      </c>
      <c r="B343" s="1" t="s">
        <v>138</v>
      </c>
      <c r="C343" s="1" t="s">
        <v>392</v>
      </c>
    </row>
    <row r="344" spans="1:3" x14ac:dyDescent="0.2">
      <c r="A344" s="107" t="str">
        <f t="shared" si="16"/>
        <v>De 10 à 14 %</v>
      </c>
      <c r="B344" s="1" t="s">
        <v>139</v>
      </c>
      <c r="C344" s="1" t="s">
        <v>394</v>
      </c>
    </row>
    <row r="345" spans="1:3" x14ac:dyDescent="0.2">
      <c r="A345" s="107" t="str">
        <f t="shared" si="16"/>
        <v>De 15 à 19 %</v>
      </c>
      <c r="B345" s="1" t="s">
        <v>140</v>
      </c>
      <c r="C345" s="1" t="s">
        <v>396</v>
      </c>
    </row>
    <row r="346" spans="1:3" x14ac:dyDescent="0.2">
      <c r="A346" s="107" t="str">
        <f t="shared" si="16"/>
        <v>De 20 à 24 %</v>
      </c>
      <c r="B346" s="103" t="s">
        <v>141</v>
      </c>
      <c r="C346" s="1" t="s">
        <v>398</v>
      </c>
    </row>
    <row r="347" spans="1:3" x14ac:dyDescent="0.2">
      <c r="A347" s="107" t="str">
        <f t="shared" si="16"/>
        <v>De 25 à 29 %</v>
      </c>
      <c r="B347" s="1" t="s">
        <v>142</v>
      </c>
      <c r="C347" s="1" t="s">
        <v>571</v>
      </c>
    </row>
    <row r="348" spans="1:3" x14ac:dyDescent="0.2">
      <c r="A348" s="107" t="str">
        <f t="shared" si="16"/>
        <v>De 30 à 34 %</v>
      </c>
      <c r="B348" s="1" t="s">
        <v>143</v>
      </c>
      <c r="C348" s="1" t="s">
        <v>572</v>
      </c>
    </row>
    <row r="349" spans="1:3" x14ac:dyDescent="0.2">
      <c r="A349" s="107" t="str">
        <f t="shared" si="16"/>
        <v>De 35 à 39 %</v>
      </c>
      <c r="B349" s="1" t="s">
        <v>144</v>
      </c>
      <c r="C349" s="1" t="s">
        <v>573</v>
      </c>
    </row>
    <row r="350" spans="1:3" x14ac:dyDescent="0.2">
      <c r="A350" s="107" t="str">
        <f t="shared" si="16"/>
        <v>De 40 à 44 %</v>
      </c>
      <c r="B350" s="1" t="s">
        <v>145</v>
      </c>
      <c r="C350" s="1" t="s">
        <v>574</v>
      </c>
    </row>
    <row r="351" spans="1:3" x14ac:dyDescent="0.2">
      <c r="A351" s="107" t="str">
        <f t="shared" si="16"/>
        <v>De 45 à 49 %</v>
      </c>
      <c r="B351" s="1" t="s">
        <v>146</v>
      </c>
      <c r="C351" s="1" t="s">
        <v>575</v>
      </c>
    </row>
    <row r="352" spans="1:3" x14ac:dyDescent="0.2">
      <c r="A352" s="107" t="str">
        <f t="shared" si="16"/>
        <v>De 50 à 54 %</v>
      </c>
      <c r="B352" s="1" t="s">
        <v>147</v>
      </c>
      <c r="C352" s="1" t="s">
        <v>576</v>
      </c>
    </row>
    <row r="353" spans="1:3" x14ac:dyDescent="0.2">
      <c r="A353" s="107" t="str">
        <f t="shared" si="16"/>
        <v>De 55 à 59 %</v>
      </c>
      <c r="B353" s="1" t="s">
        <v>148</v>
      </c>
      <c r="C353" s="1" t="s">
        <v>577</v>
      </c>
    </row>
    <row r="354" spans="1:3" x14ac:dyDescent="0.2">
      <c r="A354" s="107" t="str">
        <f t="shared" si="16"/>
        <v>De 60 à 64 %</v>
      </c>
      <c r="B354" s="104" t="s">
        <v>149</v>
      </c>
      <c r="C354" s="1" t="s">
        <v>578</v>
      </c>
    </row>
    <row r="355" spans="1:3" x14ac:dyDescent="0.2">
      <c r="A355" s="107" t="str">
        <f t="shared" si="16"/>
        <v>De 65 à 69 %</v>
      </c>
      <c r="B355" s="1" t="s">
        <v>150</v>
      </c>
      <c r="C355" s="1" t="s">
        <v>579</v>
      </c>
    </row>
    <row r="356" spans="1:3" x14ac:dyDescent="0.2">
      <c r="A356" s="107" t="str">
        <f t="shared" si="16"/>
        <v>De 70 à 74 %</v>
      </c>
      <c r="B356" s="1" t="s">
        <v>151</v>
      </c>
      <c r="C356" s="1" t="s">
        <v>580</v>
      </c>
    </row>
    <row r="357" spans="1:3" x14ac:dyDescent="0.2">
      <c r="A357" s="107" t="str">
        <f t="shared" si="16"/>
        <v>De 75 à 79 %</v>
      </c>
      <c r="B357" s="1" t="s">
        <v>152</v>
      </c>
      <c r="C357" s="1" t="s">
        <v>581</v>
      </c>
    </row>
    <row r="358" spans="1:3" x14ac:dyDescent="0.2">
      <c r="A358" s="107" t="str">
        <f t="shared" si="16"/>
        <v>De 80 à 84 %</v>
      </c>
      <c r="B358" s="1" t="s">
        <v>153</v>
      </c>
      <c r="C358" s="1" t="s">
        <v>582</v>
      </c>
    </row>
    <row r="359" spans="1:3" x14ac:dyDescent="0.2">
      <c r="A359" s="107" t="str">
        <f t="shared" si="16"/>
        <v>De 85 à 89 %</v>
      </c>
      <c r="B359" s="1" t="s">
        <v>154</v>
      </c>
      <c r="C359" s="1" t="s">
        <v>583</v>
      </c>
    </row>
    <row r="360" spans="1:3" x14ac:dyDescent="0.2">
      <c r="A360" s="107" t="str">
        <f t="shared" si="16"/>
        <v>De 90 à 94 %</v>
      </c>
      <c r="B360" s="1" t="s">
        <v>155</v>
      </c>
      <c r="C360" s="1" t="s">
        <v>584</v>
      </c>
    </row>
    <row r="361" spans="1:3" x14ac:dyDescent="0.2">
      <c r="A361" s="107" t="str">
        <f t="shared" si="16"/>
        <v>De 95 à 99 %</v>
      </c>
      <c r="B361" s="1" t="s">
        <v>156</v>
      </c>
      <c r="C361" s="1" t="s">
        <v>585</v>
      </c>
    </row>
    <row r="362" spans="1:3" x14ac:dyDescent="0.2">
      <c r="A362" s="107" t="str">
        <f t="shared" si="16"/>
        <v>Exactement 100 %</v>
      </c>
      <c r="B362" s="1" t="s">
        <v>97</v>
      </c>
      <c r="C362" s="1" t="s">
        <v>586</v>
      </c>
    </row>
    <row r="363" spans="1:3" x14ac:dyDescent="0.2">
      <c r="A363" s="107" t="str">
        <f t="shared" si="16"/>
        <v>Moins de 5 %</v>
      </c>
      <c r="B363" s="98" t="s">
        <v>389</v>
      </c>
      <c r="C363" s="1" t="s">
        <v>390</v>
      </c>
    </row>
    <row r="364" spans="1:3" x14ac:dyDescent="0.2">
      <c r="A364" s="107" t="str">
        <f t="shared" si="16"/>
        <v>De 5 à 9 %</v>
      </c>
      <c r="B364" s="98" t="s">
        <v>391</v>
      </c>
      <c r="C364" s="1" t="s">
        <v>392</v>
      </c>
    </row>
    <row r="365" spans="1:3" x14ac:dyDescent="0.2">
      <c r="A365" s="107" t="str">
        <f t="shared" si="16"/>
        <v>De 10 à 14 %</v>
      </c>
      <c r="B365" s="98" t="s">
        <v>393</v>
      </c>
      <c r="C365" s="1" t="s">
        <v>394</v>
      </c>
    </row>
    <row r="366" spans="1:3" x14ac:dyDescent="0.2">
      <c r="A366" s="107" t="str">
        <f t="shared" si="16"/>
        <v>De 15 à 19 %</v>
      </c>
      <c r="B366" s="98" t="s">
        <v>395</v>
      </c>
      <c r="C366" s="1" t="s">
        <v>396</v>
      </c>
    </row>
    <row r="367" spans="1:3" x14ac:dyDescent="0.2">
      <c r="A367" s="107" t="str">
        <f t="shared" si="16"/>
        <v>De 20 à 24 %</v>
      </c>
      <c r="B367" s="98" t="s">
        <v>397</v>
      </c>
      <c r="C367" s="1" t="s">
        <v>398</v>
      </c>
    </row>
    <row r="368" spans="1:3" x14ac:dyDescent="0.2">
      <c r="A368" s="107" t="str">
        <f t="shared" si="16"/>
        <v>25 % et plus</v>
      </c>
      <c r="B368" s="1" t="s">
        <v>416</v>
      </c>
      <c r="C368" s="1" t="s">
        <v>400</v>
      </c>
    </row>
    <row r="369" spans="1:3" x14ac:dyDescent="0.2">
      <c r="A369" s="89" t="str">
        <f t="shared" si="16"/>
        <v>Mesures d'assainissement</v>
      </c>
      <c r="B369" t="s">
        <v>211</v>
      </c>
      <c r="C369" s="4" t="s">
        <v>417</v>
      </c>
    </row>
    <row r="370" spans="1:3" x14ac:dyDescent="0.2">
      <c r="A370" s="89" t="str">
        <f t="shared" si="16"/>
        <v>Institutions de prévoyance en sous-couverture</v>
      </c>
      <c r="B370" s="105" t="s">
        <v>170</v>
      </c>
      <c r="C370" t="s">
        <v>418</v>
      </c>
    </row>
    <row r="371" spans="1:3" x14ac:dyDescent="0.2">
      <c r="A371" s="89" t="str">
        <f>VLOOKUP(B371,B371:C371,language)</f>
        <v>Nombre d'IP ayant pris des mesures</v>
      </c>
      <c r="B371" s="105" t="s">
        <v>495</v>
      </c>
      <c r="C371" s="4" t="s">
        <v>461</v>
      </c>
    </row>
    <row r="372" spans="1:3" x14ac:dyDescent="0.2">
      <c r="A372" s="107" t="str">
        <f t="shared" si="16"/>
        <v>Groupe de risque 1 – faible</v>
      </c>
      <c r="B372" s="98" t="s">
        <v>424</v>
      </c>
      <c r="C372" s="98" t="s">
        <v>419</v>
      </c>
    </row>
    <row r="373" spans="1:3" x14ac:dyDescent="0.2">
      <c r="A373" s="107" t="str">
        <f t="shared" si="16"/>
        <v>Groupe de risque 2 – plutôt faible</v>
      </c>
      <c r="B373" s="98" t="s">
        <v>425</v>
      </c>
      <c r="C373" s="98" t="s">
        <v>420</v>
      </c>
    </row>
    <row r="374" spans="1:3" x14ac:dyDescent="0.2">
      <c r="A374" s="107" t="str">
        <f t="shared" ref="A374:A431" si="18">VLOOKUP(B374,B374:C374,language)</f>
        <v>Groupe de risque 3 – moyen</v>
      </c>
      <c r="B374" s="98" t="s">
        <v>426</v>
      </c>
      <c r="C374" s="98" t="s">
        <v>421</v>
      </c>
    </row>
    <row r="375" spans="1:3" x14ac:dyDescent="0.2">
      <c r="A375" s="107" t="str">
        <f t="shared" si="18"/>
        <v>Groupe de risque 4 – plutôt élevé</v>
      </c>
      <c r="B375" s="98" t="s">
        <v>427</v>
      </c>
      <c r="C375" s="98" t="s">
        <v>422</v>
      </c>
    </row>
    <row r="376" spans="1:3" x14ac:dyDescent="0.2">
      <c r="A376" s="107" t="str">
        <f t="shared" si="18"/>
        <v>Groupe de risque 5 – élevé</v>
      </c>
      <c r="B376" s="98" t="s">
        <v>428</v>
      </c>
      <c r="C376" s="98" t="s">
        <v>423</v>
      </c>
    </row>
    <row r="377" spans="1:3" x14ac:dyDescent="0.2">
      <c r="A377" s="89" t="str">
        <f t="shared" si="18"/>
        <v>Aucune mesure</v>
      </c>
      <c r="B377" s="105" t="s">
        <v>496</v>
      </c>
      <c r="C377" t="s">
        <v>429</v>
      </c>
    </row>
    <row r="378" spans="1:3" x14ac:dyDescent="0.2">
      <c r="A378" s="89" t="str">
        <f t="shared" si="18"/>
        <v>Effets limités</v>
      </c>
      <c r="B378" s="105" t="s">
        <v>433</v>
      </c>
      <c r="C378" t="s">
        <v>430</v>
      </c>
    </row>
    <row r="379" spans="1:3" x14ac:dyDescent="0.2">
      <c r="A379" s="89" t="str">
        <f t="shared" si="18"/>
        <v>Effets modérés</v>
      </c>
      <c r="B379" s="105" t="s">
        <v>434</v>
      </c>
      <c r="C379" t="s">
        <v>431</v>
      </c>
    </row>
    <row r="380" spans="1:3" x14ac:dyDescent="0.2">
      <c r="A380" s="89" t="str">
        <f t="shared" si="18"/>
        <v>Effets importants</v>
      </c>
      <c r="B380" s="105" t="s">
        <v>435</v>
      </c>
      <c r="C380" t="s">
        <v>432</v>
      </c>
    </row>
    <row r="381" spans="1:3" x14ac:dyDescent="0.2">
      <c r="A381" s="89" t="str">
        <f t="shared" si="18"/>
        <v>Forme juridique</v>
      </c>
      <c r="B381" t="s">
        <v>28</v>
      </c>
      <c r="C381" t="s">
        <v>184</v>
      </c>
    </row>
    <row r="382" spans="1:3" x14ac:dyDescent="0.2">
      <c r="A382" s="107" t="str">
        <f t="shared" si="18"/>
        <v>Fondation privée</v>
      </c>
      <c r="B382" s="5" t="s">
        <v>30</v>
      </c>
      <c r="C382" s="1" t="s">
        <v>436</v>
      </c>
    </row>
    <row r="383" spans="1:3" x14ac:dyDescent="0.2">
      <c r="A383" s="107" t="str">
        <f t="shared" si="18"/>
        <v>Société coopérative de droit privé</v>
      </c>
      <c r="B383" s="5" t="s">
        <v>31</v>
      </c>
      <c r="C383" s="1" t="s">
        <v>185</v>
      </c>
    </row>
    <row r="384" spans="1:3" x14ac:dyDescent="0.2">
      <c r="A384" s="107" t="str">
        <f t="shared" si="18"/>
        <v>Institution de droit public</v>
      </c>
      <c r="B384" s="5" t="s">
        <v>32</v>
      </c>
      <c r="C384" s="1" t="s">
        <v>437</v>
      </c>
    </row>
    <row r="385" spans="1:3" x14ac:dyDescent="0.2">
      <c r="A385" s="89" t="str">
        <f t="shared" si="18"/>
        <v>Employeur et forme de garantie</v>
      </c>
      <c r="B385" t="s">
        <v>157</v>
      </c>
      <c r="C385" t="s">
        <v>438</v>
      </c>
    </row>
    <row r="386" spans="1:3" x14ac:dyDescent="0.2">
      <c r="A386" s="107" t="str">
        <f t="shared" si="18"/>
        <v>Employeur de droit privé</v>
      </c>
      <c r="B386" s="5" t="s">
        <v>33</v>
      </c>
      <c r="C386" s="1" t="s">
        <v>186</v>
      </c>
    </row>
    <row r="387" spans="1:3" x14ac:dyDescent="0.2">
      <c r="A387" s="107" t="str">
        <f t="shared" ref="A387" si="19">VLOOKUP(B387,B387:C387,language)</f>
        <v>Employeur de droit public</v>
      </c>
      <c r="B387" s="5" t="s">
        <v>187</v>
      </c>
      <c r="C387" s="1" t="s">
        <v>188</v>
      </c>
    </row>
    <row r="388" spans="1:3" x14ac:dyDescent="0.2">
      <c r="A388" s="107" t="str">
        <f t="shared" si="18"/>
        <v xml:space="preserve">   Capitalisation complète sans garantie étatique</v>
      </c>
      <c r="B388" s="5" t="s">
        <v>587</v>
      </c>
      <c r="C388" s="1" t="s">
        <v>591</v>
      </c>
    </row>
    <row r="389" spans="1:3" x14ac:dyDescent="0.2">
      <c r="A389" s="107" t="str">
        <f t="shared" si="18"/>
        <v xml:space="preserve">   Capitalisation complète avec garantie étatique</v>
      </c>
      <c r="B389" s="5" t="s">
        <v>588</v>
      </c>
      <c r="C389" s="1" t="s">
        <v>592</v>
      </c>
    </row>
    <row r="390" spans="1:3" x14ac:dyDescent="0.2">
      <c r="A390" s="107" t="str">
        <f t="shared" si="18"/>
        <v xml:space="preserve">   Capitalisation partielle</v>
      </c>
      <c r="B390" s="5" t="s">
        <v>589</v>
      </c>
      <c r="C390" s="1" t="s">
        <v>593</v>
      </c>
    </row>
    <row r="391" spans="1:3" x14ac:dyDescent="0.2">
      <c r="A391" s="107" t="str">
        <f t="shared" si="18"/>
        <v xml:space="preserve">   Système appliqué à l'avenir non encore déterminé</v>
      </c>
      <c r="B391" s="5" t="s">
        <v>590</v>
      </c>
      <c r="C391" s="1" t="s">
        <v>594</v>
      </c>
    </row>
    <row r="392" spans="1:3" x14ac:dyDescent="0.2">
      <c r="A392" s="89" t="str">
        <f t="shared" si="18"/>
        <v>Couverture d'assurance</v>
      </c>
      <c r="B392" t="s">
        <v>158</v>
      </c>
      <c r="C392" t="s">
        <v>439</v>
      </c>
    </row>
    <row r="393" spans="1:3" x14ac:dyDescent="0.2">
      <c r="A393" s="107" t="str">
        <f t="shared" si="18"/>
        <v>Autonome sans réassurance</v>
      </c>
      <c r="B393" s="5" t="s">
        <v>34</v>
      </c>
      <c r="C393" s="1" t="s">
        <v>192</v>
      </c>
    </row>
    <row r="394" spans="1:3" x14ac:dyDescent="0.2">
      <c r="A394" s="107" t="str">
        <f t="shared" si="18"/>
        <v>Autonome avec réassurance de type stop-loss</v>
      </c>
      <c r="B394" s="5" t="s">
        <v>36</v>
      </c>
      <c r="C394" s="1" t="s">
        <v>440</v>
      </c>
    </row>
    <row r="395" spans="1:3" x14ac:dyDescent="0.2">
      <c r="A395" s="107" t="str">
        <f t="shared" si="18"/>
        <v>Autonome avec réassurance de type excess-of-loss</v>
      </c>
      <c r="B395" s="5" t="s">
        <v>35</v>
      </c>
      <c r="C395" s="1" t="s">
        <v>441</v>
      </c>
    </row>
    <row r="396" spans="1:3" x14ac:dyDescent="0.2">
      <c r="A396" s="107" t="str">
        <f t="shared" si="18"/>
        <v>Semi-autonome : rentes de vieillesse garanties par l'institution de prévoyance</v>
      </c>
      <c r="B396" s="5" t="s">
        <v>37</v>
      </c>
      <c r="C396" s="1" t="s">
        <v>442</v>
      </c>
    </row>
    <row r="397" spans="1:3" x14ac:dyDescent="0.2">
      <c r="A397" s="107" t="str">
        <f t="shared" si="18"/>
        <v>Semi-autonome : rachat de rentes de vieillesse individuelles auprès d'une assurance</v>
      </c>
      <c r="B397" s="5" t="s">
        <v>38</v>
      </c>
      <c r="C397" s="1" t="s">
        <v>443</v>
      </c>
    </row>
    <row r="398" spans="1:3" x14ac:dyDescent="0.2">
      <c r="A398" s="107" t="str">
        <f t="shared" si="18"/>
        <v>Assurance complète (collective)</v>
      </c>
      <c r="B398" s="5" t="s">
        <v>39</v>
      </c>
      <c r="C398" s="1" t="s">
        <v>444</v>
      </c>
    </row>
    <row r="399" spans="1:3" x14ac:dyDescent="0.2">
      <c r="A399" s="107" t="str">
        <f t="shared" si="18"/>
        <v>Institution d'épargne</v>
      </c>
      <c r="B399" s="5" t="s">
        <v>3</v>
      </c>
      <c r="C399" s="1" t="s">
        <v>445</v>
      </c>
    </row>
    <row r="400" spans="1:3" x14ac:dyDescent="0.2">
      <c r="A400" s="89" t="str">
        <f t="shared" si="18"/>
        <v>Enregistrement et étendue des prestations</v>
      </c>
      <c r="B400" t="s">
        <v>499</v>
      </c>
      <c r="C400" t="s">
        <v>597</v>
      </c>
    </row>
    <row r="401" spans="1:3" x14ac:dyDescent="0.2">
      <c r="A401" s="107" t="str">
        <f t="shared" si="18"/>
        <v>Prestations obligatoires (y compris IP enveloppantes)</v>
      </c>
      <c r="B401" s="5" t="s">
        <v>40</v>
      </c>
      <c r="C401" s="1" t="s">
        <v>446</v>
      </c>
    </row>
    <row r="402" spans="1:3" x14ac:dyDescent="0.2">
      <c r="A402" s="107" t="str">
        <f t="shared" si="18"/>
        <v>Prestations surobligatoires uniquement</v>
      </c>
      <c r="B402" s="5" t="s">
        <v>41</v>
      </c>
      <c r="C402" s="1" t="s">
        <v>447</v>
      </c>
    </row>
    <row r="403" spans="1:3" x14ac:dyDescent="0.2">
      <c r="A403" s="89" t="str">
        <f t="shared" si="18"/>
        <v>Forme administrative</v>
      </c>
      <c r="B403" t="s">
        <v>42</v>
      </c>
      <c r="C403" t="s">
        <v>189</v>
      </c>
    </row>
    <row r="404" spans="1:3" x14ac:dyDescent="0.2">
      <c r="A404" s="107" t="str">
        <f t="shared" si="18"/>
        <v>Institution de prévoyance d’un seul employeur</v>
      </c>
      <c r="B404" s="5" t="s">
        <v>43</v>
      </c>
      <c r="C404" s="1" t="s">
        <v>448</v>
      </c>
    </row>
    <row r="405" spans="1:3" x14ac:dyDescent="0.2">
      <c r="A405" s="107" t="str">
        <f t="shared" si="18"/>
        <v>Institution de prévoyance d’un groupe</v>
      </c>
      <c r="B405" s="5" t="s">
        <v>44</v>
      </c>
      <c r="C405" s="1" t="s">
        <v>449</v>
      </c>
    </row>
    <row r="406" spans="1:3" x14ac:dyDescent="0.2">
      <c r="A406" s="107" t="str">
        <f t="shared" si="18"/>
        <v>Autre regroupement de plusieurs employeurs</v>
      </c>
      <c r="B406" s="5" t="s">
        <v>45</v>
      </c>
      <c r="C406" s="1" t="s">
        <v>450</v>
      </c>
    </row>
    <row r="407" spans="1:3" x14ac:dyDescent="0.2">
      <c r="A407" s="107" t="str">
        <f t="shared" si="18"/>
        <v>Institution commune</v>
      </c>
      <c r="B407" s="5" t="s">
        <v>46</v>
      </c>
      <c r="C407" s="1" t="s">
        <v>191</v>
      </c>
    </row>
    <row r="408" spans="1:3" x14ac:dyDescent="0.2">
      <c r="A408" s="107" t="str">
        <f t="shared" si="18"/>
        <v>Institution collective</v>
      </c>
      <c r="B408" s="5" t="s">
        <v>47</v>
      </c>
      <c r="C408" s="1" t="s">
        <v>190</v>
      </c>
    </row>
    <row r="409" spans="1:3" x14ac:dyDescent="0.2">
      <c r="A409" s="107" t="str">
        <f t="shared" si="18"/>
        <v>Institution collective ou commune d'employeurs de droit public</v>
      </c>
      <c r="B409" s="5" t="s">
        <v>48</v>
      </c>
      <c r="C409" s="1" t="s">
        <v>451</v>
      </c>
    </row>
    <row r="410" spans="1:3" x14ac:dyDescent="0.2">
      <c r="A410" s="89" t="str">
        <f>VLOOKUP(B410,B410:C410,language)</f>
        <v>Approfondissement : les trois taux d'intérêt déterminants</v>
      </c>
      <c r="B410" s="89" t="s">
        <v>169</v>
      </c>
      <c r="C410" s="105" t="s">
        <v>469</v>
      </c>
    </row>
    <row r="411" spans="1:3" x14ac:dyDescent="0.2">
      <c r="A411" s="89" t="str">
        <f>VLOOKUP(B411,B411:C411,language)</f>
        <v>Valeur future d'un apport de 100 à dix ans et intérêt annuel fixe</v>
      </c>
      <c r="B411" s="105" t="s">
        <v>473</v>
      </c>
      <c r="C411" t="s">
        <v>509</v>
      </c>
    </row>
    <row r="412" spans="1:3" x14ac:dyDescent="0.2">
      <c r="A412" s="89" t="str">
        <f>VLOOKUP(B412,B412:C412,language)</f>
        <v>Valeur actuelle d'un capital de 100 versé dans dix ans et taux d'intérêt technique fixe</v>
      </c>
      <c r="B412" s="105" t="s">
        <v>474</v>
      </c>
      <c r="C412" t="s">
        <v>510</v>
      </c>
    </row>
    <row r="413" spans="1:3" x14ac:dyDescent="0.2">
      <c r="A413" s="89" t="str">
        <f>VLOOKUP(B413,B413:C413,language)</f>
        <v>Montant de la rente de vieillesse annuelle pour un avoir de vieillesse de 100 basée sur un intérêt convenu au moment du départ à la retraite</v>
      </c>
      <c r="B413" s="105" t="s">
        <v>470</v>
      </c>
      <c r="C413" s="4" t="s">
        <v>511</v>
      </c>
    </row>
    <row r="414" spans="1:3" x14ac:dyDescent="0.2">
      <c r="A414" s="89" t="str">
        <f>VLOOKUP(B414,B414:C414,language)</f>
        <v>taux d'intérêt</v>
      </c>
      <c r="B414" t="s">
        <v>471</v>
      </c>
      <c r="C414" t="s">
        <v>472</v>
      </c>
    </row>
    <row r="415" spans="1:3" x14ac:dyDescent="0.2">
      <c r="A415" s="89" t="str">
        <f t="shared" si="18"/>
        <v>valeur future</v>
      </c>
      <c r="B415" t="s">
        <v>167</v>
      </c>
      <c r="C415" t="s">
        <v>452</v>
      </c>
    </row>
    <row r="416" spans="1:3" x14ac:dyDescent="0.2">
      <c r="A416" s="89" t="str">
        <f t="shared" si="18"/>
        <v>valeur actuelle</v>
      </c>
      <c r="B416" t="s">
        <v>168</v>
      </c>
      <c r="C416" t="s">
        <v>453</v>
      </c>
    </row>
    <row r="417" spans="1:3" x14ac:dyDescent="0.2">
      <c r="A417" s="89" t="str">
        <f t="shared" si="18"/>
        <v>rente de vieillesse annuelle</v>
      </c>
      <c r="B417" t="s">
        <v>454</v>
      </c>
      <c r="C417" t="s">
        <v>455</v>
      </c>
    </row>
    <row r="418" spans="1:3" x14ac:dyDescent="0.2">
      <c r="A418" s="89" t="str">
        <f t="shared" si="18"/>
        <v>Evolution du niveau des intérêts des 25 dernières années</v>
      </c>
      <c r="B418" t="s">
        <v>456</v>
      </c>
      <c r="C418" t="s">
        <v>457</v>
      </c>
    </row>
    <row r="419" spans="1:3" x14ac:dyDescent="0.2">
      <c r="A419" s="89" t="str">
        <f>VLOOKUP(B419,B419:C419,language)</f>
        <v>Année</v>
      </c>
      <c r="B419" s="89" t="s">
        <v>164</v>
      </c>
      <c r="C419" s="105" t="s">
        <v>476</v>
      </c>
    </row>
    <row r="420" spans="1:3" x14ac:dyDescent="0.2">
      <c r="A420" s="89" t="str">
        <f>VLOOKUP(B420,B420:C420,language)</f>
        <v>Rendement des obligations de la Confédération</v>
      </c>
      <c r="B420" s="89" t="s">
        <v>165</v>
      </c>
      <c r="C420" t="s">
        <v>458</v>
      </c>
    </row>
    <row r="421" spans="1:3" x14ac:dyDescent="0.2">
      <c r="A421" s="89" t="str">
        <f>VLOOKUP(B421,B421:C421,language)</f>
        <v>Taux d'intérêt technique moyen</v>
      </c>
      <c r="B421" s="105" t="s">
        <v>475</v>
      </c>
      <c r="C421" t="s">
        <v>459</v>
      </c>
    </row>
    <row r="422" spans="1:3" x14ac:dyDescent="0.2">
      <c r="A422" s="89" t="str">
        <f>VLOOKUP(B422,B422:C422,language)</f>
        <v>Taux d'intérêt minimal LPP</v>
      </c>
      <c r="B422" s="89" t="s">
        <v>166</v>
      </c>
      <c r="C422" t="s">
        <v>460</v>
      </c>
    </row>
    <row r="423" spans="1:3" x14ac:dyDescent="0.2">
      <c r="A423" s="89" t="str">
        <f t="shared" si="18"/>
        <v>Tableau schématique des trois taux d'intérêt déterminants</v>
      </c>
      <c r="B423" t="s">
        <v>230</v>
      </c>
      <c r="C423" s="105" t="s">
        <v>477</v>
      </c>
    </row>
    <row r="424" spans="1:3" x14ac:dyDescent="0.2">
      <c r="A424" s="89" t="str">
        <f t="shared" si="18"/>
        <v>Performance des placements</v>
      </c>
      <c r="B424" t="s">
        <v>136</v>
      </c>
      <c r="C424" t="s">
        <v>500</v>
      </c>
    </row>
    <row r="425" spans="1:3" x14ac:dyDescent="0.2">
      <c r="A425" s="107" t="str">
        <f t="shared" si="18"/>
        <v>Non défini</v>
      </c>
      <c r="B425" s="1" t="s">
        <v>95</v>
      </c>
      <c r="C425" s="2" t="s">
        <v>340</v>
      </c>
    </row>
    <row r="426" spans="1:3" x14ac:dyDescent="0.2">
      <c r="A426" s="107" t="str">
        <f t="shared" si="18"/>
        <v>Moins de 1 %</v>
      </c>
      <c r="B426" s="1" t="s">
        <v>119</v>
      </c>
      <c r="C426" s="2" t="s">
        <v>403</v>
      </c>
    </row>
    <row r="427" spans="1:3" x14ac:dyDescent="0.2">
      <c r="A427" s="107" t="str">
        <f t="shared" si="18"/>
        <v>De 1,0 à 2,9 %</v>
      </c>
      <c r="B427" s="1" t="s">
        <v>404</v>
      </c>
      <c r="C427" s="1" t="s">
        <v>405</v>
      </c>
    </row>
    <row r="428" spans="1:3" x14ac:dyDescent="0.2">
      <c r="A428" s="107" t="str">
        <f t="shared" si="18"/>
        <v>De 3,0 à 4,9 %</v>
      </c>
      <c r="B428" s="1" t="s">
        <v>406</v>
      </c>
      <c r="C428" s="1" t="s">
        <v>407</v>
      </c>
    </row>
    <row r="429" spans="1:3" x14ac:dyDescent="0.2">
      <c r="A429" s="107" t="str">
        <f t="shared" si="18"/>
        <v>De 5,0 à 6,9 %</v>
      </c>
      <c r="B429" s="1" t="s">
        <v>408</v>
      </c>
      <c r="C429" s="1" t="s">
        <v>409</v>
      </c>
    </row>
    <row r="430" spans="1:3" x14ac:dyDescent="0.2">
      <c r="A430" s="107" t="str">
        <f t="shared" si="18"/>
        <v>De 7,0 à 8,9 %</v>
      </c>
      <c r="B430" s="1" t="s">
        <v>410</v>
      </c>
      <c r="C430" s="1" t="s">
        <v>411</v>
      </c>
    </row>
    <row r="431" spans="1:3" x14ac:dyDescent="0.2">
      <c r="A431" s="107" t="str">
        <f t="shared" si="18"/>
        <v>9 % et plus</v>
      </c>
      <c r="B431" s="102" t="s">
        <v>412</v>
      </c>
      <c r="C431" s="1" t="s">
        <v>413</v>
      </c>
    </row>
    <row r="432" spans="1:3" x14ac:dyDescent="0.2">
      <c r="A432" s="89" t="str">
        <f t="shared" ref="A432:A433" si="20">VLOOKUP(B432,B432:C432,language)</f>
        <v>pas de données saisies</v>
      </c>
      <c r="B432" s="105" t="s">
        <v>607</v>
      </c>
      <c r="C432" s="105" t="s">
        <v>608</v>
      </c>
    </row>
    <row r="433" spans="1:3" x14ac:dyDescent="0.2">
      <c r="A433" s="89" t="str">
        <f t="shared" si="20"/>
        <v>non saisi séparément</v>
      </c>
      <c r="B433" s="105" t="s">
        <v>609</v>
      </c>
      <c r="C433" s="105" t="s">
        <v>610</v>
      </c>
    </row>
  </sheetData>
  <hyperlinks>
    <hyperlink ref="B14" r:id="rId1"/>
    <hyperlink ref="C14" r:id="rId2"/>
  </hyperlinks>
  <pageMargins left="0.70866141732283472" right="0.70866141732283472" top="0.78740157480314965" bottom="0.78740157480314965" header="0.31496062992125984" footer="0.31496062992125984"/>
  <pageSetup paperSize="9" scale="10" orientation="portrait" cellComments="atEnd" r:id="rId3"/>
  <headerFooter>
    <oddHeader>&amp;H&amp;P&amp;"Arial,Fett"Daten zur Erhebung finanzielle Lage der Vorsorgeeinrichtungen 2012
Données de l'enquête sur la situation financière des institutions de prévoyance 2012</oddHeader>
    <oddFooter>&amp;L&amp;10&amp;F / &amp;A&amp;C&amp;10&amp;H&amp;P / &amp;N&amp;R&amp;10OAK BV - RM / 12.05.2015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7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Translation!$A$48</f>
        <v>Risque lié au taux de couverture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retour à la vue d'ensemble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 t="str">
        <f>Translation!$A$52</f>
        <v>Niveau de risque</v>
      </c>
      <c r="B4" s="28" t="str">
        <f>Translation!$A$40</f>
        <v>Nombre d'IP</v>
      </c>
      <c r="C4" s="19" t="str">
        <f>Translation!$A$41</f>
        <v>Nombre d'assurés actifs</v>
      </c>
      <c r="D4" s="19" t="str">
        <f>Translation!$A$42</f>
        <v>Nombre de rentiers</v>
      </c>
      <c r="E4" s="149" t="str">
        <f>Translation!$A$43</f>
        <v>Somme du bilan</v>
      </c>
      <c r="F4" s="29" t="str">
        <f>Translation!$A$46</f>
        <v>Part de la somme du bilan</v>
      </c>
      <c r="G4" s="28" t="str">
        <f>Translation!$A$40</f>
        <v>Nombre d'IP</v>
      </c>
      <c r="H4" s="19" t="str">
        <f>Translation!$A$41</f>
        <v>Nombre d'assurés actifs</v>
      </c>
      <c r="I4" s="19" t="str">
        <f>Translation!$A$42</f>
        <v>Nombre de rentiers</v>
      </c>
      <c r="J4" s="149" t="str">
        <f>Translation!$A$43</f>
        <v>Somme du bilan</v>
      </c>
      <c r="K4" s="29" t="str">
        <f>Translation!$A$46</f>
        <v>Part de la somme du bilan</v>
      </c>
      <c r="L4" s="28" t="str">
        <f>Translation!$A$40</f>
        <v>Nombre d'IP</v>
      </c>
      <c r="M4" s="73" t="str">
        <f>Translation!$A$41</f>
        <v>Nombre d'assurés actifs</v>
      </c>
      <c r="N4" s="73" t="str">
        <f>Translation!$A$42</f>
        <v>Nombre de rentiers</v>
      </c>
      <c r="O4" s="149" t="str">
        <f>Translation!$A$43</f>
        <v>Somme du bilan</v>
      </c>
      <c r="P4" s="29" t="str">
        <f>Translation!$A$46</f>
        <v>Part de la somme du bilan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toutes les institutions de prévoyance</v>
      </c>
      <c r="M11" s="75"/>
      <c r="N11" s="75"/>
    </row>
    <row r="12" spans="1:16" x14ac:dyDescent="0.2">
      <c r="A12" s="115" t="str">
        <f>Translation!$A53</f>
        <v>1 – faible</v>
      </c>
      <c r="B12" s="30">
        <v>540</v>
      </c>
      <c r="C12" s="6">
        <v>370583</v>
      </c>
      <c r="D12" s="6">
        <v>146885</v>
      </c>
      <c r="E12" s="151">
        <v>138813.601</v>
      </c>
      <c r="F12" s="31">
        <f>E12/E$36</f>
        <v>0.16885358828511957</v>
      </c>
      <c r="G12" s="41">
        <v>400</v>
      </c>
      <c r="H12" s="42">
        <v>189863</v>
      </c>
      <c r="I12" s="42">
        <v>84762</v>
      </c>
      <c r="J12" s="161">
        <v>75083.607000000004</v>
      </c>
      <c r="K12" s="44">
        <f>J12/J$36</f>
        <v>0.10282710600520385</v>
      </c>
      <c r="L12" s="76">
        <v>333</v>
      </c>
      <c r="M12" s="123">
        <v>156091</v>
      </c>
      <c r="N12" s="123">
        <v>69465</v>
      </c>
      <c r="O12" s="168">
        <v>56362.343162000012</v>
      </c>
      <c r="P12" s="125">
        <f>O12/O$36</f>
        <v>8.3761069169815586E-2</v>
      </c>
    </row>
    <row r="13" spans="1:16" x14ac:dyDescent="0.2">
      <c r="A13" s="115" t="str">
        <f>Translation!$A54</f>
        <v>2 – plutôt faible</v>
      </c>
      <c r="B13" s="30">
        <v>556</v>
      </c>
      <c r="C13" s="6">
        <v>1064691</v>
      </c>
      <c r="D13" s="6">
        <v>223073</v>
      </c>
      <c r="E13" s="151">
        <v>220202.72</v>
      </c>
      <c r="F13" s="31">
        <f>E13/E$36</f>
        <v>0.26785573714886529</v>
      </c>
      <c r="G13" s="41">
        <v>523</v>
      </c>
      <c r="H13" s="42">
        <v>742759</v>
      </c>
      <c r="I13" s="42">
        <v>151657</v>
      </c>
      <c r="J13" s="161">
        <v>147278.717</v>
      </c>
      <c r="K13" s="44">
        <f>J13/J$36</f>
        <v>0.2016984112826308</v>
      </c>
      <c r="L13" s="76">
        <v>399</v>
      </c>
      <c r="M13" s="123">
        <v>447495</v>
      </c>
      <c r="N13" s="123">
        <v>125493</v>
      </c>
      <c r="O13" s="168">
        <v>113568.98716999998</v>
      </c>
      <c r="P13" s="125">
        <f>O13/O$36</f>
        <v>0.16877686867187924</v>
      </c>
    </row>
    <row r="14" spans="1:16" x14ac:dyDescent="0.2">
      <c r="A14" s="115" t="str">
        <f>Translation!$A55</f>
        <v>3 – moyen</v>
      </c>
      <c r="B14" s="30">
        <v>523</v>
      </c>
      <c r="C14" s="6">
        <v>1394748</v>
      </c>
      <c r="D14" s="6">
        <v>309000</v>
      </c>
      <c r="E14" s="151">
        <v>309839.51299999998</v>
      </c>
      <c r="F14" s="31">
        <f>E14/E$36</f>
        <v>0.37689039968471066</v>
      </c>
      <c r="G14" s="41">
        <v>650</v>
      </c>
      <c r="H14" s="42">
        <v>1582034</v>
      </c>
      <c r="I14" s="42">
        <v>297871</v>
      </c>
      <c r="J14" s="161">
        <v>271998.864</v>
      </c>
      <c r="K14" s="44">
        <f>J14/J$36</f>
        <v>0.37250282903727605</v>
      </c>
      <c r="L14" s="76">
        <v>811</v>
      </c>
      <c r="M14" s="123">
        <v>2349945</v>
      </c>
      <c r="N14" s="123">
        <v>416496</v>
      </c>
      <c r="O14" s="168">
        <v>327442.09130299999</v>
      </c>
      <c r="P14" s="125">
        <f>O14/O$36</f>
        <v>0.48661744917005351</v>
      </c>
    </row>
    <row r="15" spans="1:16" x14ac:dyDescent="0.2">
      <c r="A15" s="115" t="str">
        <f>Translation!$A56</f>
        <v>4 – plutôt élevé</v>
      </c>
      <c r="B15" s="30">
        <v>166</v>
      </c>
      <c r="C15" s="6">
        <v>1015221</v>
      </c>
      <c r="D15" s="6">
        <v>118925</v>
      </c>
      <c r="E15" s="151">
        <v>115470.412</v>
      </c>
      <c r="F15" s="31">
        <f>E15/E$36</f>
        <v>0.14045881143131739</v>
      </c>
      <c r="G15" s="41">
        <v>273</v>
      </c>
      <c r="H15" s="42">
        <v>1207573</v>
      </c>
      <c r="I15" s="42">
        <v>315439</v>
      </c>
      <c r="J15" s="161">
        <v>185914.68100000001</v>
      </c>
      <c r="K15" s="44">
        <f>J15/J$36</f>
        <v>0.25461041863786138</v>
      </c>
      <c r="L15" s="76">
        <v>243</v>
      </c>
      <c r="M15" s="123">
        <v>422532</v>
      </c>
      <c r="N15" s="123">
        <v>172777</v>
      </c>
      <c r="O15" s="168">
        <v>101144.93485999999</v>
      </c>
      <c r="P15" s="125">
        <f>O15/O$36</f>
        <v>0.15031326608679488</v>
      </c>
    </row>
    <row r="16" spans="1:16" x14ac:dyDescent="0.2">
      <c r="A16" s="115" t="str">
        <f>Translation!$A57</f>
        <v>5 – élevé</v>
      </c>
      <c r="B16" s="30">
        <v>60</v>
      </c>
      <c r="C16" s="6">
        <v>158794</v>
      </c>
      <c r="D16" s="6">
        <v>70935</v>
      </c>
      <c r="E16" s="151">
        <v>37768.222999999998</v>
      </c>
      <c r="F16" s="31">
        <f>E16/E$36</f>
        <v>4.5941463449987029E-2</v>
      </c>
      <c r="G16" s="41">
        <v>59</v>
      </c>
      <c r="H16" s="42">
        <v>210519</v>
      </c>
      <c r="I16" s="42">
        <v>93603</v>
      </c>
      <c r="J16" s="161">
        <v>49916.877999999997</v>
      </c>
      <c r="K16" s="44">
        <f>J16/J$36</f>
        <v>6.8361235037027818E-2</v>
      </c>
      <c r="L16" s="76">
        <v>76</v>
      </c>
      <c r="M16" s="123">
        <v>324435</v>
      </c>
      <c r="N16" s="123">
        <v>126714</v>
      </c>
      <c r="O16" s="168">
        <v>74375.909547999996</v>
      </c>
      <c r="P16" s="125">
        <f>O16/O$36</f>
        <v>0.11053134690145681</v>
      </c>
    </row>
    <row r="17" spans="2:16" ht="12.75" hidden="1" customHeight="1" x14ac:dyDescent="0.2">
      <c r="B17" s="30"/>
      <c r="C17" s="6"/>
      <c r="D17" s="6"/>
      <c r="E17" s="151"/>
      <c r="F17" s="31"/>
      <c r="G17" s="41"/>
      <c r="H17" s="42"/>
      <c r="I17" s="42"/>
      <c r="J17" s="161"/>
      <c r="K17" s="44"/>
      <c r="L17" s="76"/>
      <c r="M17" s="123"/>
      <c r="N17" s="123"/>
      <c r="O17" s="168"/>
      <c r="P17" s="125"/>
    </row>
    <row r="18" spans="2:16" ht="12.75" hidden="1" customHeight="1" x14ac:dyDescent="0.2">
      <c r="B18" s="30"/>
      <c r="C18" s="6"/>
      <c r="D18" s="6"/>
      <c r="E18" s="151"/>
      <c r="F18" s="31"/>
      <c r="G18" s="41"/>
      <c r="H18" s="42"/>
      <c r="I18" s="42"/>
      <c r="J18" s="161"/>
      <c r="K18" s="44"/>
      <c r="L18" s="76"/>
      <c r="M18" s="123"/>
      <c r="N18" s="123"/>
      <c r="O18" s="168"/>
      <c r="P18" s="125"/>
    </row>
    <row r="19" spans="2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2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2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2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2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2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2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2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2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2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2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2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2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2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0">SUM(C$12:C$35)</f>
        <v>4004037</v>
      </c>
      <c r="D36" s="7">
        <f t="shared" si="0"/>
        <v>868818</v>
      </c>
      <c r="E36" s="152">
        <f t="shared" si="0"/>
        <v>822094.46900000004</v>
      </c>
      <c r="F36" s="64">
        <f>SUM(F$12:F$35)</f>
        <v>1</v>
      </c>
      <c r="G36" s="45">
        <f t="shared" ref="G36:J36" si="1">SUM(G$12:G$35)</f>
        <v>1905</v>
      </c>
      <c r="H36" s="65">
        <f t="shared" si="1"/>
        <v>3932748</v>
      </c>
      <c r="I36" s="65">
        <f t="shared" si="1"/>
        <v>943332</v>
      </c>
      <c r="J36" s="162">
        <f t="shared" si="1"/>
        <v>730192.74700000009</v>
      </c>
      <c r="K36" s="66">
        <f t="shared" ref="K36:O36" si="2">SUM(K$12:K$35)</f>
        <v>1</v>
      </c>
      <c r="L36" s="77">
        <f t="shared" si="2"/>
        <v>1862</v>
      </c>
      <c r="M36" s="126">
        <f t="shared" si="2"/>
        <v>3700498</v>
      </c>
      <c r="N36" s="126">
        <f t="shared" si="2"/>
        <v>910945</v>
      </c>
      <c r="O36" s="169">
        <f t="shared" si="2"/>
        <v>672894.26604299992</v>
      </c>
      <c r="P36" s="128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institutions de prévoyance sans garantie étatique</v>
      </c>
      <c r="M51" s="75"/>
      <c r="N51" s="75"/>
    </row>
    <row r="52" spans="1:16" x14ac:dyDescent="0.2">
      <c r="A52" s="115" t="str">
        <f>$A$12</f>
        <v>1 – faible</v>
      </c>
      <c r="B52" s="33">
        <v>531</v>
      </c>
      <c r="C52" s="8">
        <v>329161</v>
      </c>
      <c r="D52" s="8">
        <v>132737</v>
      </c>
      <c r="E52" s="153">
        <v>126302.261</v>
      </c>
      <c r="F52" s="34">
        <f>E52/E$76</f>
        <v>0.17627671080474142</v>
      </c>
      <c r="G52" s="47">
        <v>394</v>
      </c>
      <c r="H52" s="48">
        <v>175064</v>
      </c>
      <c r="I52" s="48">
        <v>79375</v>
      </c>
      <c r="J52" s="163">
        <v>70229.72</v>
      </c>
      <c r="K52" s="50">
        <f>J52/J$76</f>
        <v>0.1123400227628699</v>
      </c>
      <c r="L52" s="129">
        <v>322</v>
      </c>
      <c r="M52" s="130">
        <v>135313</v>
      </c>
      <c r="N52" s="130">
        <v>65661</v>
      </c>
      <c r="O52" s="170">
        <v>53648.916162000009</v>
      </c>
      <c r="P52" s="132">
        <f>O52/O$76</f>
        <v>9.3443104687785217E-2</v>
      </c>
    </row>
    <row r="53" spans="1:16" x14ac:dyDescent="0.2">
      <c r="A53" s="115" t="str">
        <f>$A$13</f>
        <v>2 – plutôt faible</v>
      </c>
      <c r="B53" s="33">
        <v>545</v>
      </c>
      <c r="C53" s="8">
        <v>999434</v>
      </c>
      <c r="D53" s="8">
        <v>189214</v>
      </c>
      <c r="E53" s="153">
        <v>194966.76</v>
      </c>
      <c r="F53" s="34">
        <f>E53/E$76</f>
        <v>0.27210992817505797</v>
      </c>
      <c r="G53" s="47">
        <v>505</v>
      </c>
      <c r="H53" s="48">
        <v>711230</v>
      </c>
      <c r="I53" s="48">
        <v>140572</v>
      </c>
      <c r="J53" s="163">
        <v>137914.51699999999</v>
      </c>
      <c r="K53" s="50">
        <f>J53/J$76</f>
        <v>0.22060916630609104</v>
      </c>
      <c r="L53" s="129">
        <v>373</v>
      </c>
      <c r="M53" s="130">
        <v>391174</v>
      </c>
      <c r="N53" s="130">
        <v>105008</v>
      </c>
      <c r="O53" s="170">
        <v>96829.657054999974</v>
      </c>
      <c r="P53" s="132">
        <f>O53/O$76</f>
        <v>0.16865324462009401</v>
      </c>
    </row>
    <row r="54" spans="1:16" x14ac:dyDescent="0.2">
      <c r="A54" s="115" t="str">
        <f>$A$14</f>
        <v>3 – moyen</v>
      </c>
      <c r="B54" s="33">
        <v>515</v>
      </c>
      <c r="C54" s="8">
        <v>1333899</v>
      </c>
      <c r="D54" s="8">
        <v>282530</v>
      </c>
      <c r="E54" s="153">
        <v>286702.212</v>
      </c>
      <c r="F54" s="34">
        <f>E54/E$76</f>
        <v>0.40014266183092057</v>
      </c>
      <c r="G54" s="47">
        <v>639</v>
      </c>
      <c r="H54" s="48">
        <v>1501321</v>
      </c>
      <c r="I54" s="48">
        <v>258833</v>
      </c>
      <c r="J54" s="163">
        <v>242925.522</v>
      </c>
      <c r="K54" s="50">
        <f>J54/J$76</f>
        <v>0.38858561120793383</v>
      </c>
      <c r="L54" s="129">
        <v>800</v>
      </c>
      <c r="M54" s="130">
        <v>2246403</v>
      </c>
      <c r="N54" s="130">
        <v>370658</v>
      </c>
      <c r="O54" s="170">
        <v>293345.52330299997</v>
      </c>
      <c r="P54" s="132">
        <f>O54/O$76</f>
        <v>0.51093513913540889</v>
      </c>
    </row>
    <row r="55" spans="1:16" x14ac:dyDescent="0.2">
      <c r="A55" s="115" t="str">
        <f>$A$15</f>
        <v>4 – plutôt élevé</v>
      </c>
      <c r="B55" s="33">
        <v>163</v>
      </c>
      <c r="C55" s="8">
        <v>969716</v>
      </c>
      <c r="D55" s="8">
        <v>97541</v>
      </c>
      <c r="E55" s="153">
        <v>100848.10400000001</v>
      </c>
      <c r="F55" s="34">
        <f>E55/E$76</f>
        <v>0.14075101999966957</v>
      </c>
      <c r="G55" s="47">
        <v>265</v>
      </c>
      <c r="H55" s="48">
        <v>1133534</v>
      </c>
      <c r="I55" s="48">
        <v>285095</v>
      </c>
      <c r="J55" s="163">
        <v>163698.01500000001</v>
      </c>
      <c r="K55" s="50">
        <f>J55/J$76</f>
        <v>0.26185265627339283</v>
      </c>
      <c r="L55" s="129">
        <v>238</v>
      </c>
      <c r="M55" s="130">
        <v>398962</v>
      </c>
      <c r="N55" s="130">
        <v>162785</v>
      </c>
      <c r="O55" s="170">
        <v>94688.533859999996</v>
      </c>
      <c r="P55" s="132">
        <f>O55/O$76</f>
        <v>0.16492393910615444</v>
      </c>
    </row>
    <row r="56" spans="1:16" x14ac:dyDescent="0.2">
      <c r="A56" s="115" t="str">
        <f>$A$16</f>
        <v>5 – élevé</v>
      </c>
      <c r="B56" s="33">
        <v>48</v>
      </c>
      <c r="C56" s="8">
        <v>32447</v>
      </c>
      <c r="D56" s="8">
        <v>12884</v>
      </c>
      <c r="E56" s="153">
        <v>7680.65</v>
      </c>
      <c r="F56" s="34">
        <f>E56/E$76</f>
        <v>1.0719679189610367E-2</v>
      </c>
      <c r="G56" s="47">
        <v>44</v>
      </c>
      <c r="H56" s="48">
        <v>53483</v>
      </c>
      <c r="I56" s="48">
        <v>19752</v>
      </c>
      <c r="J56" s="163">
        <v>10385.384</v>
      </c>
      <c r="K56" s="50">
        <f>J56/J$76</f>
        <v>1.6612543449712528E-2</v>
      </c>
      <c r="L56" s="129">
        <v>63</v>
      </c>
      <c r="M56" s="130">
        <v>143297</v>
      </c>
      <c r="N56" s="130">
        <v>51589</v>
      </c>
      <c r="O56" s="170">
        <v>35621.933548000001</v>
      </c>
      <c r="P56" s="132">
        <f>O56/O$76</f>
        <v>6.2044572450557452E-2</v>
      </c>
    </row>
    <row r="57" spans="1:16" ht="12.75" hidden="1" customHeight="1" x14ac:dyDescent="0.2">
      <c r="B57" s="33"/>
      <c r="C57" s="8"/>
      <c r="D57" s="8"/>
      <c r="E57" s="153"/>
      <c r="F57" s="34"/>
      <c r="G57" s="47"/>
      <c r="H57" s="48"/>
      <c r="I57" s="48"/>
      <c r="J57" s="163"/>
      <c r="K57" s="50"/>
      <c r="L57" s="129"/>
      <c r="M57" s="130"/>
      <c r="N57" s="130"/>
      <c r="O57" s="170"/>
      <c r="P57" s="132"/>
    </row>
    <row r="58" spans="1:16" ht="12.75" hidden="1" customHeight="1" x14ac:dyDescent="0.2">
      <c r="B58" s="33"/>
      <c r="C58" s="8"/>
      <c r="D58" s="8"/>
      <c r="E58" s="153"/>
      <c r="F58" s="34"/>
      <c r="G58" s="47"/>
      <c r="H58" s="48"/>
      <c r="I58" s="48"/>
      <c r="J58" s="163"/>
      <c r="K58" s="50"/>
      <c r="L58" s="129"/>
      <c r="M58" s="130"/>
      <c r="N58" s="130"/>
      <c r="O58" s="170"/>
      <c r="P58" s="132"/>
    </row>
    <row r="59" spans="1:16" ht="12.75" hidden="1" customHeight="1" x14ac:dyDescent="0.2"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tr">
        <f>$A$36</f>
        <v>Total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716499.98700000008</v>
      </c>
      <c r="F76" s="67">
        <f t="shared" ref="F76:J76" si="3">SUM(F$52:F$75)</f>
        <v>0.99999999999999989</v>
      </c>
      <c r="G76" s="51">
        <f t="shared" si="3"/>
        <v>1847</v>
      </c>
      <c r="H76" s="68">
        <f t="shared" si="3"/>
        <v>3574632</v>
      </c>
      <c r="I76" s="68">
        <f t="shared" si="3"/>
        <v>783627</v>
      </c>
      <c r="J76" s="164">
        <f t="shared" si="3"/>
        <v>625153.15799999994</v>
      </c>
      <c r="K76" s="69">
        <f t="shared" ref="K76:O76" si="4">SUM(K$52:K$75)</f>
        <v>1.0000000000000002</v>
      </c>
      <c r="L76" s="133">
        <f t="shared" si="4"/>
        <v>1796</v>
      </c>
      <c r="M76" s="134">
        <f t="shared" si="4"/>
        <v>3315149</v>
      </c>
      <c r="N76" s="134">
        <f t="shared" si="4"/>
        <v>755701</v>
      </c>
      <c r="O76" s="171">
        <f t="shared" si="4"/>
        <v>574134.56392799993</v>
      </c>
      <c r="P76" s="136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institutions de prévoyance avec garantie étatique</v>
      </c>
      <c r="M91" s="75"/>
      <c r="N91" s="75"/>
    </row>
    <row r="92" spans="1:16" x14ac:dyDescent="0.2">
      <c r="A92" s="115" t="str">
        <f>$A$12</f>
        <v>1 – faible</v>
      </c>
      <c r="B92" s="36">
        <v>9</v>
      </c>
      <c r="C92" s="10">
        <v>41422</v>
      </c>
      <c r="D92" s="10">
        <v>14148</v>
      </c>
      <c r="E92" s="155">
        <v>12511.34</v>
      </c>
      <c r="F92" s="37">
        <f>E92/E$116</f>
        <v>0.11848478976391967</v>
      </c>
      <c r="G92" s="53">
        <v>6</v>
      </c>
      <c r="H92" s="54">
        <v>14799</v>
      </c>
      <c r="I92" s="54">
        <v>5387</v>
      </c>
      <c r="J92" s="165">
        <v>4853.8869999999997</v>
      </c>
      <c r="K92" s="56">
        <f>J92/J$116</f>
        <v>4.6210072280461791E-2</v>
      </c>
      <c r="L92" s="137">
        <v>11</v>
      </c>
      <c r="M92" s="138">
        <v>20778</v>
      </c>
      <c r="N92" s="138">
        <v>3804</v>
      </c>
      <c r="O92" s="172">
        <v>2713.4270000000001</v>
      </c>
      <c r="P92" s="140">
        <f>O92/O$116</f>
        <v>2.7475042369410656E-2</v>
      </c>
    </row>
    <row r="93" spans="1:16" x14ac:dyDescent="0.2">
      <c r="A93" s="115" t="str">
        <f>$A$13</f>
        <v>2 – plutôt faible</v>
      </c>
      <c r="B93" s="36">
        <v>11</v>
      </c>
      <c r="C93" s="10">
        <v>65257</v>
      </c>
      <c r="D93" s="10">
        <v>33859</v>
      </c>
      <c r="E93" s="155">
        <v>25235.96</v>
      </c>
      <c r="F93" s="37">
        <f>E93/E$116</f>
        <v>0.2389893820398683</v>
      </c>
      <c r="G93" s="53">
        <v>18</v>
      </c>
      <c r="H93" s="54">
        <v>31529</v>
      </c>
      <c r="I93" s="54">
        <v>11085</v>
      </c>
      <c r="J93" s="165">
        <v>9364.2000000000007</v>
      </c>
      <c r="K93" s="56">
        <f>J93/J$116</f>
        <v>8.9149244481525919E-2</v>
      </c>
      <c r="L93" s="137">
        <v>26</v>
      </c>
      <c r="M93" s="138">
        <v>56321</v>
      </c>
      <c r="N93" s="138">
        <v>20485</v>
      </c>
      <c r="O93" s="172">
        <v>16739.330114999997</v>
      </c>
      <c r="P93" s="140">
        <f>O93/O$116</f>
        <v>0.16949555088276805</v>
      </c>
    </row>
    <row r="94" spans="1:16" x14ac:dyDescent="0.2">
      <c r="A94" s="115" t="str">
        <f>$A$14</f>
        <v>3 – moyen</v>
      </c>
      <c r="B94" s="36">
        <v>8</v>
      </c>
      <c r="C94" s="10">
        <v>60849</v>
      </c>
      <c r="D94" s="10">
        <v>26470</v>
      </c>
      <c r="E94" s="155">
        <v>23137.300999999999</v>
      </c>
      <c r="F94" s="37">
        <f>E94/E$116</f>
        <v>0.2191146787386106</v>
      </c>
      <c r="G94" s="53">
        <v>11</v>
      </c>
      <c r="H94" s="54">
        <v>80713</v>
      </c>
      <c r="I94" s="54">
        <v>39038</v>
      </c>
      <c r="J94" s="165">
        <v>29073.342000000001</v>
      </c>
      <c r="K94" s="56">
        <f>J94/J$116</f>
        <v>0.27678461308526253</v>
      </c>
      <c r="L94" s="137">
        <v>11</v>
      </c>
      <c r="M94" s="138">
        <v>103542</v>
      </c>
      <c r="N94" s="138">
        <v>45838</v>
      </c>
      <c r="O94" s="172">
        <v>34096.567999999999</v>
      </c>
      <c r="P94" s="140">
        <f>O94/O$116</f>
        <v>0.34524778092482</v>
      </c>
    </row>
    <row r="95" spans="1:16" x14ac:dyDescent="0.2">
      <c r="A95" s="115" t="str">
        <f>$A$15</f>
        <v>4 – plutôt élevé</v>
      </c>
      <c r="B95" s="36">
        <v>3</v>
      </c>
      <c r="C95" s="10">
        <v>45505</v>
      </c>
      <c r="D95" s="10">
        <v>21384</v>
      </c>
      <c r="E95" s="155">
        <v>14622.308000000001</v>
      </c>
      <c r="F95" s="37">
        <f>E95/E$116</f>
        <v>0.13847606165632784</v>
      </c>
      <c r="G95" s="53">
        <v>8</v>
      </c>
      <c r="H95" s="54">
        <v>74039</v>
      </c>
      <c r="I95" s="54">
        <v>30344</v>
      </c>
      <c r="J95" s="165">
        <v>22216.666000000001</v>
      </c>
      <c r="K95" s="56">
        <f>J95/J$116</f>
        <v>0.21150754883475409</v>
      </c>
      <c r="L95" s="137">
        <v>5</v>
      </c>
      <c r="M95" s="138">
        <v>23570</v>
      </c>
      <c r="N95" s="138">
        <v>9992</v>
      </c>
      <c r="O95" s="172">
        <v>6456.4009999999998</v>
      </c>
      <c r="P95" s="140">
        <f>O95/O$116</f>
        <v>6.5374852918064622E-2</v>
      </c>
    </row>
    <row r="96" spans="1:16" x14ac:dyDescent="0.2">
      <c r="A96" s="115" t="str">
        <f>$A$16</f>
        <v>5 – élevé</v>
      </c>
      <c r="B96" s="36">
        <v>12</v>
      </c>
      <c r="C96" s="10">
        <v>126347</v>
      </c>
      <c r="D96" s="10">
        <v>58051</v>
      </c>
      <c r="E96" s="155">
        <v>30087.573</v>
      </c>
      <c r="F96" s="37">
        <f>E96/E$116</f>
        <v>0.28493508780127352</v>
      </c>
      <c r="G96" s="53">
        <v>15</v>
      </c>
      <c r="H96" s="54">
        <v>157036</v>
      </c>
      <c r="I96" s="54">
        <v>73851</v>
      </c>
      <c r="J96" s="165">
        <v>39531.493999999999</v>
      </c>
      <c r="K96" s="56">
        <f>J96/J$116</f>
        <v>0.37634852131799562</v>
      </c>
      <c r="L96" s="137">
        <v>13</v>
      </c>
      <c r="M96" s="138">
        <v>181138</v>
      </c>
      <c r="N96" s="138">
        <v>75125</v>
      </c>
      <c r="O96" s="172">
        <v>38753.976000000002</v>
      </c>
      <c r="P96" s="140">
        <f>O96/O$116</f>
        <v>0.39240677290493675</v>
      </c>
    </row>
    <row r="97" spans="2:16" ht="12.75" hidden="1" customHeight="1" x14ac:dyDescent="0.2">
      <c r="B97" s="36"/>
      <c r="C97" s="10"/>
      <c r="D97" s="10"/>
      <c r="E97" s="155"/>
      <c r="F97" s="37"/>
      <c r="G97" s="53"/>
      <c r="H97" s="54"/>
      <c r="I97" s="54"/>
      <c r="J97" s="165"/>
      <c r="K97" s="56"/>
      <c r="L97" s="137"/>
      <c r="M97" s="138"/>
      <c r="N97" s="138"/>
      <c r="O97" s="172"/>
      <c r="P97" s="140"/>
    </row>
    <row r="98" spans="2:16" ht="12.75" hidden="1" customHeight="1" x14ac:dyDescent="0.2">
      <c r="B98" s="36"/>
      <c r="C98" s="10"/>
      <c r="D98" s="10"/>
      <c r="E98" s="155"/>
      <c r="F98" s="37"/>
      <c r="G98" s="53"/>
      <c r="H98" s="54"/>
      <c r="I98" s="54"/>
      <c r="J98" s="165"/>
      <c r="K98" s="56"/>
      <c r="L98" s="137"/>
      <c r="M98" s="138"/>
      <c r="N98" s="138"/>
      <c r="O98" s="172"/>
      <c r="P98" s="140"/>
    </row>
    <row r="99" spans="2:16" ht="12.75" hidden="1" customHeight="1" x14ac:dyDescent="0.2"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2:16" ht="12.75" hidden="1" customHeight="1" x14ac:dyDescent="0.2"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2:16" ht="12.75" hidden="1" customHeight="1" x14ac:dyDescent="0.2"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2:16" ht="12.75" hidden="1" customHeight="1" x14ac:dyDescent="0.2"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2:16" ht="12.75" hidden="1" customHeight="1" x14ac:dyDescent="0.2"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2:16" ht="12.75" hidden="1" customHeight="1" x14ac:dyDescent="0.2"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2:16" ht="12.75" hidden="1" customHeight="1" x14ac:dyDescent="0.2"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2:16" ht="12.75" hidden="1" customHeight="1" x14ac:dyDescent="0.2"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2:16" ht="12.75" hidden="1" customHeight="1" x14ac:dyDescent="0.2"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2:16" ht="12.75" hidden="1" customHeight="1" x14ac:dyDescent="0.2"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2:16" ht="12.75" hidden="1" customHeight="1" x14ac:dyDescent="0.2"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2:16" ht="12.75" hidden="1" customHeight="1" x14ac:dyDescent="0.2"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2:16" ht="12.75" hidden="1" customHeight="1" x14ac:dyDescent="0.2"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2:16" ht="12.75" hidden="1" customHeight="1" x14ac:dyDescent="0.2"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tr">
        <f>$A$36</f>
        <v>Total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:J116" si="5">SUM(F$92:F$115)</f>
        <v>1</v>
      </c>
      <c r="G116" s="57">
        <f t="shared" si="5"/>
        <v>58</v>
      </c>
      <c r="H116" s="71">
        <f t="shared" si="5"/>
        <v>358116</v>
      </c>
      <c r="I116" s="71">
        <f t="shared" si="5"/>
        <v>159705</v>
      </c>
      <c r="J116" s="166">
        <f t="shared" si="5"/>
        <v>105039.58900000001</v>
      </c>
      <c r="K116" s="72">
        <f t="shared" ref="K116:O116" si="6">SUM(K$92:K$115)</f>
        <v>1</v>
      </c>
      <c r="L116" s="141">
        <f t="shared" si="6"/>
        <v>66</v>
      </c>
      <c r="M116" s="142">
        <f t="shared" si="6"/>
        <v>385349</v>
      </c>
      <c r="N116" s="142">
        <f t="shared" si="6"/>
        <v>155244</v>
      </c>
      <c r="O116" s="173">
        <f t="shared" si="6"/>
        <v>98759.702114999993</v>
      </c>
      <c r="P116" s="144">
        <f>SUM(P$92:P$115)</f>
        <v>1</v>
      </c>
    </row>
    <row r="120" spans="1:16" x14ac:dyDescent="0.2">
      <c r="A120" s="111" t="str">
        <f>Translation!$A$36</f>
        <v>somme du bilan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r:id="rId1"/>
  <headerFooter>
    <oddFooter>&amp;L&amp;10&amp;F / &amp;A&amp;C&amp;10&amp;P / &amp;N&amp;R&amp;10OAK BV - RM / 12.05.2015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8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Translation!$A$49</f>
        <v>Risque lié à la promesse d'intérêts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retour à la vue d'ensemble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 t="str">
        <f>Translation!$A$52</f>
        <v>Niveau de risque</v>
      </c>
      <c r="B4" s="28" t="str">
        <f>Translation!$A$40</f>
        <v>Nombre d'IP</v>
      </c>
      <c r="C4" s="19" t="str">
        <f>Translation!$A$41</f>
        <v>Nombre d'assurés actifs</v>
      </c>
      <c r="D4" s="19" t="str">
        <f>Translation!$A$42</f>
        <v>Nombre de rentiers</v>
      </c>
      <c r="E4" s="149" t="str">
        <f>Translation!$A$43</f>
        <v>Somme du bilan</v>
      </c>
      <c r="F4" s="29" t="str">
        <f>Translation!$A$46</f>
        <v>Part de la somme du bilan</v>
      </c>
      <c r="G4" s="28" t="str">
        <f>Translation!$A$40</f>
        <v>Nombre d'IP</v>
      </c>
      <c r="H4" s="19" t="str">
        <f>Translation!$A$41</f>
        <v>Nombre d'assurés actifs</v>
      </c>
      <c r="I4" s="19" t="str">
        <f>Translation!$A$42</f>
        <v>Nombre de rentiers</v>
      </c>
      <c r="J4" s="149" t="str">
        <f>Translation!$A$43</f>
        <v>Somme du bilan</v>
      </c>
      <c r="K4" s="29" t="str">
        <f>Translation!$A$46</f>
        <v>Part de la somme du bilan</v>
      </c>
      <c r="L4" s="28" t="str">
        <f>Translation!$A$40</f>
        <v>Nombre d'IP</v>
      </c>
      <c r="M4" s="73" t="str">
        <f>Translation!$A$41</f>
        <v>Nombre d'assurés actifs</v>
      </c>
      <c r="N4" s="73" t="str">
        <f>Translation!$A$42</f>
        <v>Nombre de rentiers</v>
      </c>
      <c r="O4" s="149" t="str">
        <f>Translation!$A$43</f>
        <v>Somme du bilan</v>
      </c>
      <c r="P4" s="29" t="str">
        <f>Translation!$A$46</f>
        <v>Part de la somme du bilan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toutes les institutions de prévoyance</v>
      </c>
      <c r="M11" s="75"/>
      <c r="N11" s="75"/>
    </row>
    <row r="12" spans="1:16" x14ac:dyDescent="0.2">
      <c r="A12" s="115" t="str">
        <f>Translation!$A53</f>
        <v>1 – faible</v>
      </c>
      <c r="B12" s="30">
        <v>455</v>
      </c>
      <c r="C12" s="6">
        <v>1271986</v>
      </c>
      <c r="D12" s="6">
        <v>8174</v>
      </c>
      <c r="E12" s="151">
        <v>88547.437999999995</v>
      </c>
      <c r="F12" s="31">
        <f>E12/E$36</f>
        <v>0.10855263888208107</v>
      </c>
      <c r="G12" s="41">
        <v>478</v>
      </c>
      <c r="H12" s="42">
        <v>1425237</v>
      </c>
      <c r="I12" s="42">
        <v>145128</v>
      </c>
      <c r="J12" s="161">
        <v>76223.271999999997</v>
      </c>
      <c r="K12" s="44">
        <f>J12/J$36</f>
        <v>0.10505680555421383</v>
      </c>
      <c r="L12" s="76">
        <v>483</v>
      </c>
      <c r="M12" s="123">
        <v>1412025</v>
      </c>
      <c r="N12" s="123">
        <v>135878</v>
      </c>
      <c r="O12" s="168">
        <v>93875.830728999994</v>
      </c>
      <c r="P12" s="125">
        <f>O12/O$36</f>
        <v>0.13951052262793556</v>
      </c>
    </row>
    <row r="13" spans="1:16" x14ac:dyDescent="0.2">
      <c r="A13" s="115" t="str">
        <f>Translation!$A54</f>
        <v>2 – plutôt faible</v>
      </c>
      <c r="B13" s="30">
        <v>28</v>
      </c>
      <c r="C13" s="6">
        <v>90658</v>
      </c>
      <c r="D13" s="6">
        <v>62770</v>
      </c>
      <c r="E13" s="151">
        <v>39683.925999999999</v>
      </c>
      <c r="F13" s="31">
        <f>E13/E$36</f>
        <v>4.8649571188058856E-2</v>
      </c>
      <c r="G13" s="41">
        <v>73</v>
      </c>
      <c r="H13" s="42">
        <v>180281</v>
      </c>
      <c r="I13" s="42">
        <v>103176</v>
      </c>
      <c r="J13" s="161">
        <v>100764.984</v>
      </c>
      <c r="K13" s="44">
        <f>J13/J$36</f>
        <v>0.13888209011496472</v>
      </c>
      <c r="L13" s="76">
        <v>4</v>
      </c>
      <c r="M13" s="123">
        <v>644</v>
      </c>
      <c r="N13" s="123">
        <v>345</v>
      </c>
      <c r="O13" s="168">
        <v>251.71799999999999</v>
      </c>
      <c r="P13" s="125">
        <f>O13/O$36</f>
        <v>3.7408254565794523E-4</v>
      </c>
    </row>
    <row r="14" spans="1:16" x14ac:dyDescent="0.2">
      <c r="A14" s="115" t="str">
        <f>Translation!$A55</f>
        <v>3 – moyen</v>
      </c>
      <c r="B14" s="30">
        <v>226</v>
      </c>
      <c r="C14" s="6">
        <v>467723</v>
      </c>
      <c r="D14" s="6">
        <v>208571</v>
      </c>
      <c r="E14" s="151">
        <v>203505.41899999999</v>
      </c>
      <c r="F14" s="31">
        <f>E14/E$36</f>
        <v>0.24948265876708484</v>
      </c>
      <c r="G14" s="41">
        <v>456</v>
      </c>
      <c r="H14" s="42">
        <v>743563</v>
      </c>
      <c r="I14" s="42">
        <v>257206</v>
      </c>
      <c r="J14" s="161">
        <v>230791.538</v>
      </c>
      <c r="K14" s="44">
        <f>J14/J$36</f>
        <v>0.31809473793284487</v>
      </c>
      <c r="L14" s="76">
        <v>116</v>
      </c>
      <c r="M14" s="123">
        <v>135771</v>
      </c>
      <c r="N14" s="123">
        <v>73558</v>
      </c>
      <c r="O14" s="168">
        <v>62484.599258999981</v>
      </c>
      <c r="P14" s="125">
        <f>O14/O$36</f>
        <v>9.2859461600772589E-2</v>
      </c>
    </row>
    <row r="15" spans="1:16" x14ac:dyDescent="0.2">
      <c r="A15" s="115" t="str">
        <f>Translation!$A56</f>
        <v>4 – plutôt élevé</v>
      </c>
      <c r="B15" s="30">
        <v>567</v>
      </c>
      <c r="C15" s="6">
        <v>973670</v>
      </c>
      <c r="D15" s="6">
        <v>257361</v>
      </c>
      <c r="E15" s="151">
        <v>237882.84899999999</v>
      </c>
      <c r="F15" s="31">
        <f>E15/E$36</f>
        <v>0.29162685659790205</v>
      </c>
      <c r="G15" s="41">
        <v>428</v>
      </c>
      <c r="H15" s="42">
        <v>883390</v>
      </c>
      <c r="I15" s="42">
        <v>275999</v>
      </c>
      <c r="J15" s="161">
        <v>205873.253</v>
      </c>
      <c r="K15" s="44">
        <f>J15/J$36</f>
        <v>0.28375043135427813</v>
      </c>
      <c r="L15" s="76">
        <v>429</v>
      </c>
      <c r="M15" s="123">
        <v>729214</v>
      </c>
      <c r="N15" s="123">
        <v>314307</v>
      </c>
      <c r="O15" s="168">
        <v>237864.74620099983</v>
      </c>
      <c r="P15" s="125">
        <f>O15/O$36</f>
        <v>0.3534949816109737</v>
      </c>
    </row>
    <row r="16" spans="1:16" x14ac:dyDescent="0.2">
      <c r="A16" s="115" t="str">
        <f>Translation!$A57</f>
        <v>5 – élevé</v>
      </c>
      <c r="B16" s="30">
        <v>484</v>
      </c>
      <c r="C16" s="6">
        <v>1189734</v>
      </c>
      <c r="D16" s="6">
        <v>324036</v>
      </c>
      <c r="E16" s="151">
        <v>246090.04500000001</v>
      </c>
      <c r="F16" s="31">
        <f>E16/E$36</f>
        <v>0.30168827456487318</v>
      </c>
      <c r="G16" s="41">
        <v>370</v>
      </c>
      <c r="H16" s="42">
        <v>689598</v>
      </c>
      <c r="I16" s="42">
        <v>155190</v>
      </c>
      <c r="J16" s="161">
        <v>111890.35400000001</v>
      </c>
      <c r="K16" s="44">
        <f>J16/J$36</f>
        <v>0.15421593504369838</v>
      </c>
      <c r="L16" s="76">
        <v>830</v>
      </c>
      <c r="M16" s="123">
        <v>1422844</v>
      </c>
      <c r="N16" s="123">
        <v>386857</v>
      </c>
      <c r="O16" s="168">
        <v>278417.37185399985</v>
      </c>
      <c r="P16" s="125">
        <f>O16/O$36</f>
        <v>0.41376095161466014</v>
      </c>
    </row>
    <row r="17" spans="2:16" ht="12.75" hidden="1" customHeight="1" x14ac:dyDescent="0.2">
      <c r="B17" s="30"/>
      <c r="C17" s="6"/>
      <c r="D17" s="6"/>
      <c r="E17" s="151"/>
      <c r="F17" s="31"/>
      <c r="G17" s="41"/>
      <c r="H17" s="42"/>
      <c r="I17" s="42"/>
      <c r="J17" s="161"/>
      <c r="K17" s="44"/>
      <c r="L17" s="76"/>
      <c r="M17" s="123"/>
      <c r="N17" s="123"/>
      <c r="O17" s="168"/>
      <c r="P17" s="125"/>
    </row>
    <row r="18" spans="2:16" ht="12.75" hidden="1" customHeight="1" x14ac:dyDescent="0.2">
      <c r="B18" s="30"/>
      <c r="C18" s="6"/>
      <c r="D18" s="6"/>
      <c r="E18" s="151"/>
      <c r="F18" s="31"/>
      <c r="G18" s="41"/>
      <c r="H18" s="42"/>
      <c r="I18" s="42"/>
      <c r="J18" s="161"/>
      <c r="K18" s="44"/>
      <c r="L18" s="76"/>
      <c r="M18" s="123"/>
      <c r="N18" s="123"/>
      <c r="O18" s="168"/>
      <c r="P18" s="125"/>
    </row>
    <row r="19" spans="2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2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2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2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2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2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2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2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2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2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2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2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2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2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1760</v>
      </c>
      <c r="C36" s="7">
        <f t="shared" ref="C36:E36" si="0">SUM(C$12:C$35)</f>
        <v>3993771</v>
      </c>
      <c r="D36" s="7">
        <f t="shared" si="0"/>
        <v>860912</v>
      </c>
      <c r="E36" s="152">
        <f t="shared" si="0"/>
        <v>815709.67700000003</v>
      </c>
      <c r="F36" s="64">
        <f>SUM(F$12:F$35)</f>
        <v>1</v>
      </c>
      <c r="G36" s="45">
        <f t="shared" ref="G36:J36" si="1">SUM(G$12:G$35)</f>
        <v>1805</v>
      </c>
      <c r="H36" s="65">
        <f t="shared" si="1"/>
        <v>3922069</v>
      </c>
      <c r="I36" s="65">
        <f t="shared" si="1"/>
        <v>936699</v>
      </c>
      <c r="J36" s="162">
        <f t="shared" si="1"/>
        <v>725543.40100000007</v>
      </c>
      <c r="K36" s="66">
        <f t="shared" ref="K36:O36" si="2">SUM(K$12:K$35)</f>
        <v>0.99999999999999989</v>
      </c>
      <c r="L36" s="77">
        <f t="shared" si="2"/>
        <v>1862</v>
      </c>
      <c r="M36" s="126">
        <f t="shared" si="2"/>
        <v>3700498</v>
      </c>
      <c r="N36" s="126">
        <f t="shared" si="2"/>
        <v>910945</v>
      </c>
      <c r="O36" s="169">
        <f t="shared" si="2"/>
        <v>672894.26604299969</v>
      </c>
      <c r="P36" s="128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institutions de prévoyance sans garantie étatique</v>
      </c>
      <c r="M51" s="75"/>
      <c r="N51" s="75"/>
    </row>
    <row r="52" spans="1:16" x14ac:dyDescent="0.2">
      <c r="A52" s="115" t="str">
        <f>$A$12</f>
        <v>1 – faible</v>
      </c>
      <c r="B52" s="33">
        <v>455</v>
      </c>
      <c r="C52" s="8">
        <v>1271986</v>
      </c>
      <c r="D52" s="8">
        <v>8174</v>
      </c>
      <c r="E52" s="153">
        <v>88547.437999999995</v>
      </c>
      <c r="F52" s="34">
        <f>E52/E$76</f>
        <v>0.12469447016973068</v>
      </c>
      <c r="G52" s="47">
        <v>477</v>
      </c>
      <c r="H52" s="48">
        <v>1424841</v>
      </c>
      <c r="I52" s="48">
        <v>145026</v>
      </c>
      <c r="J52" s="163">
        <v>76223.270999999993</v>
      </c>
      <c r="K52" s="50">
        <f>J52/J$76</f>
        <v>0.12281918750086256</v>
      </c>
      <c r="L52" s="129">
        <v>480</v>
      </c>
      <c r="M52" s="130">
        <v>1401692</v>
      </c>
      <c r="N52" s="130">
        <v>134099</v>
      </c>
      <c r="O52" s="170">
        <v>92671.061728999994</v>
      </c>
      <c r="P52" s="132">
        <f>O52/O$76</f>
        <v>0.16141000307485678</v>
      </c>
    </row>
    <row r="53" spans="1:16" x14ac:dyDescent="0.2">
      <c r="A53" s="115" t="str">
        <f>$A$13</f>
        <v>2 – plutôt faible</v>
      </c>
      <c r="B53" s="33">
        <v>28</v>
      </c>
      <c r="C53" s="8">
        <v>90658</v>
      </c>
      <c r="D53" s="8">
        <v>62770</v>
      </c>
      <c r="E53" s="153">
        <v>39683.925999999999</v>
      </c>
      <c r="F53" s="34">
        <f>E53/E$76</f>
        <v>5.5883786573529097E-2</v>
      </c>
      <c r="G53" s="47">
        <v>73</v>
      </c>
      <c r="H53" s="48">
        <v>180281</v>
      </c>
      <c r="I53" s="48">
        <v>103176</v>
      </c>
      <c r="J53" s="163">
        <v>100764.984</v>
      </c>
      <c r="K53" s="50">
        <f>J53/J$76</f>
        <v>0.16236345280193257</v>
      </c>
      <c r="L53" s="129">
        <v>4</v>
      </c>
      <c r="M53" s="130">
        <v>644</v>
      </c>
      <c r="N53" s="130">
        <v>345</v>
      </c>
      <c r="O53" s="170">
        <v>251.71799999999999</v>
      </c>
      <c r="P53" s="132">
        <f>O53/O$76</f>
        <v>4.3843031897931005E-4</v>
      </c>
    </row>
    <row r="54" spans="1:16" x14ac:dyDescent="0.2">
      <c r="A54" s="115" t="str">
        <f>$A$14</f>
        <v>3 – moyen</v>
      </c>
      <c r="B54" s="33">
        <v>221</v>
      </c>
      <c r="C54" s="8">
        <v>457110</v>
      </c>
      <c r="D54" s="8">
        <v>204003</v>
      </c>
      <c r="E54" s="153">
        <v>200978.40900000001</v>
      </c>
      <c r="F54" s="34">
        <f>E54/E$76</f>
        <v>0.28302226232463595</v>
      </c>
      <c r="G54" s="47">
        <v>446</v>
      </c>
      <c r="H54" s="48">
        <v>707154</v>
      </c>
      <c r="I54" s="48">
        <v>240601</v>
      </c>
      <c r="J54" s="163">
        <v>220397.06099999999</v>
      </c>
      <c r="K54" s="50">
        <f>J54/J$76</f>
        <v>0.35512760872723559</v>
      </c>
      <c r="L54" s="129">
        <v>115</v>
      </c>
      <c r="M54" s="130">
        <v>129830</v>
      </c>
      <c r="N54" s="130">
        <v>72048</v>
      </c>
      <c r="O54" s="170">
        <v>60829.753258999983</v>
      </c>
      <c r="P54" s="132">
        <f>O54/O$76</f>
        <v>0.10595034175059427</v>
      </c>
    </row>
    <row r="55" spans="1:16" x14ac:dyDescent="0.2">
      <c r="A55" s="115" t="str">
        <f>$A$15</f>
        <v>4 – plutôt élevé</v>
      </c>
      <c r="B55" s="33">
        <v>554</v>
      </c>
      <c r="C55" s="8">
        <v>905527</v>
      </c>
      <c r="D55" s="8">
        <v>229295</v>
      </c>
      <c r="E55" s="153">
        <v>217013.087</v>
      </c>
      <c r="F55" s="34">
        <f>E55/E$76</f>
        <v>0.30560265225700456</v>
      </c>
      <c r="G55" s="47">
        <v>405</v>
      </c>
      <c r="H55" s="48">
        <v>696489</v>
      </c>
      <c r="I55" s="48">
        <v>191841</v>
      </c>
      <c r="J55" s="163">
        <v>150026.75</v>
      </c>
      <c r="K55" s="50">
        <f>J55/J$76</f>
        <v>0.24173934412228298</v>
      </c>
      <c r="L55" s="129">
        <v>417</v>
      </c>
      <c r="M55" s="130">
        <v>659915</v>
      </c>
      <c r="N55" s="130">
        <v>289266</v>
      </c>
      <c r="O55" s="170">
        <v>218448.53520099985</v>
      </c>
      <c r="P55" s="132">
        <f>O55/O$76</f>
        <v>0.38048316357486317</v>
      </c>
    </row>
    <row r="56" spans="1:16" x14ac:dyDescent="0.2">
      <c r="A56" s="115" t="str">
        <f>$A$16</f>
        <v>5 – élevé</v>
      </c>
      <c r="B56" s="33">
        <v>459</v>
      </c>
      <c r="C56" s="8">
        <v>929110</v>
      </c>
      <c r="D56" s="8">
        <v>202758</v>
      </c>
      <c r="E56" s="153">
        <v>163892.33499999999</v>
      </c>
      <c r="F56" s="34">
        <f>E56/E$76</f>
        <v>0.23079682867509965</v>
      </c>
      <c r="G56" s="47">
        <v>348</v>
      </c>
      <c r="H56" s="48">
        <v>555780</v>
      </c>
      <c r="I56" s="48">
        <v>96702</v>
      </c>
      <c r="J56" s="163">
        <v>73201.638999999996</v>
      </c>
      <c r="K56" s="50">
        <f>J56/J$76</f>
        <v>0.11795040684768636</v>
      </c>
      <c r="L56" s="129">
        <v>780</v>
      </c>
      <c r="M56" s="130">
        <v>1123068</v>
      </c>
      <c r="N56" s="130">
        <v>259943</v>
      </c>
      <c r="O56" s="170">
        <v>201933.49573899986</v>
      </c>
      <c r="P56" s="132">
        <f>O56/O$76</f>
        <v>0.35171806128070643</v>
      </c>
    </row>
    <row r="57" spans="1:16" ht="12.75" hidden="1" customHeight="1" x14ac:dyDescent="0.2">
      <c r="B57" s="33"/>
      <c r="C57" s="8"/>
      <c r="D57" s="8"/>
      <c r="E57" s="153"/>
      <c r="F57" s="34"/>
      <c r="G57" s="47"/>
      <c r="H57" s="48"/>
      <c r="I57" s="48"/>
      <c r="J57" s="163"/>
      <c r="K57" s="50"/>
      <c r="L57" s="129"/>
      <c r="M57" s="130"/>
      <c r="N57" s="130"/>
      <c r="O57" s="170"/>
      <c r="P57" s="132"/>
    </row>
    <row r="58" spans="1:16" ht="12.75" hidden="1" customHeight="1" x14ac:dyDescent="0.2">
      <c r="B58" s="33"/>
      <c r="C58" s="8"/>
      <c r="D58" s="8"/>
      <c r="E58" s="153"/>
      <c r="F58" s="34"/>
      <c r="G58" s="47"/>
      <c r="H58" s="48"/>
      <c r="I58" s="48"/>
      <c r="J58" s="163"/>
      <c r="K58" s="50"/>
      <c r="L58" s="129"/>
      <c r="M58" s="130"/>
      <c r="N58" s="130"/>
      <c r="O58" s="170"/>
      <c r="P58" s="132"/>
    </row>
    <row r="59" spans="1:16" ht="12.75" hidden="1" customHeight="1" x14ac:dyDescent="0.2"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tr">
        <f>$A$36</f>
        <v>Total</v>
      </c>
      <c r="B76" s="35">
        <f>SUM(B$52:B$75)</f>
        <v>1717</v>
      </c>
      <c r="C76" s="9">
        <f>SUM(C$52:C$75)</f>
        <v>3654391</v>
      </c>
      <c r="D76" s="9">
        <f>SUM(D$52:D$75)</f>
        <v>707000</v>
      </c>
      <c r="E76" s="154">
        <f>SUM(E$52:E$75)</f>
        <v>710115.19500000007</v>
      </c>
      <c r="F76" s="67">
        <f t="shared" ref="F76:J76" si="3">SUM(F$52:F$75)</f>
        <v>1</v>
      </c>
      <c r="G76" s="51">
        <f t="shared" si="3"/>
        <v>1749</v>
      </c>
      <c r="H76" s="68">
        <f t="shared" si="3"/>
        <v>3564545</v>
      </c>
      <c r="I76" s="68">
        <f t="shared" si="3"/>
        <v>777346</v>
      </c>
      <c r="J76" s="164">
        <f t="shared" si="3"/>
        <v>620613.70499999996</v>
      </c>
      <c r="K76" s="69">
        <f t="shared" ref="K76:O76" si="4">SUM(K$52:K$75)</f>
        <v>1.0000000000000002</v>
      </c>
      <c r="L76" s="133">
        <f t="shared" si="4"/>
        <v>1796</v>
      </c>
      <c r="M76" s="134">
        <f t="shared" si="4"/>
        <v>3315149</v>
      </c>
      <c r="N76" s="134">
        <f t="shared" si="4"/>
        <v>755701</v>
      </c>
      <c r="O76" s="171">
        <f t="shared" si="4"/>
        <v>574134.5639279997</v>
      </c>
      <c r="P76" s="136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institutions de prévoyance avec garantie étatique</v>
      </c>
      <c r="M91" s="75"/>
      <c r="N91" s="75"/>
    </row>
    <row r="92" spans="1:16" x14ac:dyDescent="0.2">
      <c r="A92" s="115" t="str">
        <f>$A$12</f>
        <v>1 – faible</v>
      </c>
      <c r="B92" s="36">
        <v>0</v>
      </c>
      <c r="C92" s="10">
        <v>0</v>
      </c>
      <c r="D92" s="10">
        <v>0</v>
      </c>
      <c r="E92" s="155">
        <v>0</v>
      </c>
      <c r="F92" s="37">
        <f>E92/E$116</f>
        <v>0</v>
      </c>
      <c r="G92" s="53">
        <v>1</v>
      </c>
      <c r="H92" s="54">
        <v>396</v>
      </c>
      <c r="I92" s="54">
        <v>102</v>
      </c>
      <c r="J92" s="165">
        <v>1E-3</v>
      </c>
      <c r="K92" s="56">
        <f>J92/J$116</f>
        <v>9.5301905763645791E-9</v>
      </c>
      <c r="L92" s="137">
        <v>3</v>
      </c>
      <c r="M92" s="138">
        <v>10333</v>
      </c>
      <c r="N92" s="138">
        <v>1779</v>
      </c>
      <c r="O92" s="172">
        <v>1204.769</v>
      </c>
      <c r="P92" s="140">
        <f>O92/O$116</f>
        <v>1.2198993862872489E-2</v>
      </c>
    </row>
    <row r="93" spans="1:16" x14ac:dyDescent="0.2">
      <c r="A93" s="115" t="str">
        <f>$A$13</f>
        <v>2 – plutôt faible</v>
      </c>
      <c r="B93" s="36">
        <v>0</v>
      </c>
      <c r="C93" s="10">
        <v>0</v>
      </c>
      <c r="D93" s="10">
        <v>0</v>
      </c>
      <c r="E93" s="155">
        <v>0</v>
      </c>
      <c r="F93" s="37">
        <f>E93/E$116</f>
        <v>0</v>
      </c>
      <c r="G93" s="53">
        <v>0</v>
      </c>
      <c r="H93" s="54">
        <v>0</v>
      </c>
      <c r="I93" s="54">
        <v>0</v>
      </c>
      <c r="J93" s="165">
        <v>0</v>
      </c>
      <c r="K93" s="56">
        <f>J93/J$116</f>
        <v>0</v>
      </c>
      <c r="L93" s="137">
        <v>0</v>
      </c>
      <c r="M93" s="138">
        <v>0</v>
      </c>
      <c r="N93" s="138">
        <v>0</v>
      </c>
      <c r="O93" s="172">
        <v>0</v>
      </c>
      <c r="P93" s="140">
        <f>O93/O$116</f>
        <v>0</v>
      </c>
    </row>
    <row r="94" spans="1:16" x14ac:dyDescent="0.2">
      <c r="A94" s="115" t="str">
        <f>$A$14</f>
        <v>3 – moyen</v>
      </c>
      <c r="B94" s="36">
        <v>5</v>
      </c>
      <c r="C94" s="10">
        <v>10613</v>
      </c>
      <c r="D94" s="10">
        <v>4568</v>
      </c>
      <c r="E94" s="155">
        <v>2527.0100000000002</v>
      </c>
      <c r="F94" s="37">
        <f>E94/E$116</f>
        <v>2.3931269438870868E-2</v>
      </c>
      <c r="G94" s="53">
        <v>10</v>
      </c>
      <c r="H94" s="54">
        <v>36409</v>
      </c>
      <c r="I94" s="54">
        <v>16605</v>
      </c>
      <c r="J94" s="165">
        <v>10394.477000000001</v>
      </c>
      <c r="K94" s="56">
        <f>J94/J$116</f>
        <v>9.9061346751638371E-2</v>
      </c>
      <c r="L94" s="137">
        <v>1</v>
      </c>
      <c r="M94" s="138">
        <v>5941</v>
      </c>
      <c r="N94" s="138">
        <v>1510</v>
      </c>
      <c r="O94" s="172">
        <v>1654.846</v>
      </c>
      <c r="P94" s="140">
        <f>O94/O$116</f>
        <v>1.6756287884232651E-2</v>
      </c>
    </row>
    <row r="95" spans="1:16" x14ac:dyDescent="0.2">
      <c r="A95" s="115" t="str">
        <f>$A$15</f>
        <v>4 – plutôt élevé</v>
      </c>
      <c r="B95" s="36">
        <v>13</v>
      </c>
      <c r="C95" s="10">
        <v>68143</v>
      </c>
      <c r="D95" s="10">
        <v>28066</v>
      </c>
      <c r="E95" s="155">
        <v>20869.761999999999</v>
      </c>
      <c r="F95" s="37">
        <f>E95/E$116</f>
        <v>0.19764064944226914</v>
      </c>
      <c r="G95" s="53">
        <v>23</v>
      </c>
      <c r="H95" s="54">
        <v>186901</v>
      </c>
      <c r="I95" s="54">
        <v>84158</v>
      </c>
      <c r="J95" s="165">
        <v>55846.502999999997</v>
      </c>
      <c r="K95" s="56">
        <f>J95/J$116</f>
        <v>0.53222781661351615</v>
      </c>
      <c r="L95" s="137">
        <v>12</v>
      </c>
      <c r="M95" s="138">
        <v>69299</v>
      </c>
      <c r="N95" s="138">
        <v>25041</v>
      </c>
      <c r="O95" s="172">
        <v>19416.210999999996</v>
      </c>
      <c r="P95" s="140">
        <f>O95/O$116</f>
        <v>0.19660054236889996</v>
      </c>
    </row>
    <row r="96" spans="1:16" x14ac:dyDescent="0.2">
      <c r="A96" s="115" t="str">
        <f>$A$16</f>
        <v>5 – élevé</v>
      </c>
      <c r="B96" s="36">
        <v>25</v>
      </c>
      <c r="C96" s="10">
        <v>260624</v>
      </c>
      <c r="D96" s="10">
        <v>121278</v>
      </c>
      <c r="E96" s="155">
        <v>82197.710000000006</v>
      </c>
      <c r="F96" s="37">
        <f>E96/E$116</f>
        <v>0.77842808111885997</v>
      </c>
      <c r="G96" s="53">
        <v>22</v>
      </c>
      <c r="H96" s="54">
        <v>133818</v>
      </c>
      <c r="I96" s="54">
        <v>58488</v>
      </c>
      <c r="J96" s="165">
        <v>38688.714999999997</v>
      </c>
      <c r="K96" s="56">
        <f>J96/J$116</f>
        <v>0.36871082710465491</v>
      </c>
      <c r="L96" s="137">
        <v>50</v>
      </c>
      <c r="M96" s="138">
        <v>299776</v>
      </c>
      <c r="N96" s="138">
        <v>126914.00000000001</v>
      </c>
      <c r="O96" s="172">
        <v>76483.876114999992</v>
      </c>
      <c r="P96" s="140">
        <f>O96/O$116</f>
        <v>0.77444417588399483</v>
      </c>
    </row>
    <row r="97" spans="2:16" ht="12.75" hidden="1" customHeight="1" x14ac:dyDescent="0.2">
      <c r="B97" s="36"/>
      <c r="C97" s="10"/>
      <c r="D97" s="10"/>
      <c r="E97" s="155"/>
      <c r="F97" s="37"/>
      <c r="G97" s="53"/>
      <c r="H97" s="54"/>
      <c r="I97" s="54"/>
      <c r="J97" s="165"/>
      <c r="K97" s="56"/>
      <c r="L97" s="137"/>
      <c r="M97" s="138"/>
      <c r="N97" s="138"/>
      <c r="O97" s="172"/>
      <c r="P97" s="140"/>
    </row>
    <row r="98" spans="2:16" ht="12.75" hidden="1" customHeight="1" x14ac:dyDescent="0.2">
      <c r="B98" s="36"/>
      <c r="C98" s="10"/>
      <c r="D98" s="10"/>
      <c r="E98" s="155"/>
      <c r="F98" s="37"/>
      <c r="G98" s="53"/>
      <c r="H98" s="54"/>
      <c r="I98" s="54"/>
      <c r="J98" s="165"/>
      <c r="K98" s="56"/>
      <c r="L98" s="137"/>
      <c r="M98" s="138"/>
      <c r="N98" s="138"/>
      <c r="O98" s="172"/>
      <c r="P98" s="140"/>
    </row>
    <row r="99" spans="2:16" ht="12.75" hidden="1" customHeight="1" x14ac:dyDescent="0.2"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2:16" ht="12.75" hidden="1" customHeight="1" x14ac:dyDescent="0.2"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2:16" ht="12.75" hidden="1" customHeight="1" x14ac:dyDescent="0.2"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2:16" ht="12.75" hidden="1" customHeight="1" x14ac:dyDescent="0.2"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2:16" ht="12.75" hidden="1" customHeight="1" x14ac:dyDescent="0.2"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2:16" ht="12.75" hidden="1" customHeight="1" x14ac:dyDescent="0.2"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2:16" ht="12.75" hidden="1" customHeight="1" x14ac:dyDescent="0.2"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2:16" ht="12.75" hidden="1" customHeight="1" x14ac:dyDescent="0.2"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2:16" ht="12.75" hidden="1" customHeight="1" x14ac:dyDescent="0.2"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2:16" ht="12.75" hidden="1" customHeight="1" x14ac:dyDescent="0.2"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2:16" ht="12.75" hidden="1" customHeight="1" x14ac:dyDescent="0.2"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2:16" ht="12.75" hidden="1" customHeight="1" x14ac:dyDescent="0.2"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2:16" ht="12.75" hidden="1" customHeight="1" x14ac:dyDescent="0.2"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2:16" ht="12.75" hidden="1" customHeight="1" x14ac:dyDescent="0.2"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tr">
        <f>$A$36</f>
        <v>Total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:J116" si="5">SUM(F$92:F$115)</f>
        <v>1</v>
      </c>
      <c r="G116" s="57">
        <f t="shared" si="5"/>
        <v>56</v>
      </c>
      <c r="H116" s="71">
        <f t="shared" si="5"/>
        <v>357524</v>
      </c>
      <c r="I116" s="71">
        <f t="shared" si="5"/>
        <v>159353</v>
      </c>
      <c r="J116" s="166">
        <f t="shared" si="5"/>
        <v>104929.696</v>
      </c>
      <c r="K116" s="72">
        <f t="shared" ref="K116:O116" si="6">SUM(K$92:K$115)</f>
        <v>1</v>
      </c>
      <c r="L116" s="141">
        <f t="shared" si="6"/>
        <v>66</v>
      </c>
      <c r="M116" s="142">
        <f t="shared" si="6"/>
        <v>385349</v>
      </c>
      <c r="N116" s="142">
        <f t="shared" si="6"/>
        <v>155244</v>
      </c>
      <c r="O116" s="173">
        <f t="shared" si="6"/>
        <v>98759.702114999993</v>
      </c>
      <c r="P116" s="144">
        <f>SUM(P$92:P$115)</f>
        <v>1</v>
      </c>
    </row>
    <row r="120" spans="1:16" x14ac:dyDescent="0.2">
      <c r="A120" s="111" t="str">
        <f>Translation!$A$36</f>
        <v>somme du bilan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9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Translation!$A$50</f>
        <v>Risque lié à la capacité d'assainissement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retour à la vue d'ensemble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 t="str">
        <f>Translation!$A$52</f>
        <v>Niveau de risque</v>
      </c>
      <c r="B4" s="28" t="str">
        <f>Translation!$A$40</f>
        <v>Nombre d'IP</v>
      </c>
      <c r="C4" s="19" t="str">
        <f>Translation!$A$41</f>
        <v>Nombre d'assurés actifs</v>
      </c>
      <c r="D4" s="19" t="str">
        <f>Translation!$A$42</f>
        <v>Nombre de rentiers</v>
      </c>
      <c r="E4" s="149" t="str">
        <f>Translation!$A$43</f>
        <v>Somme du bilan</v>
      </c>
      <c r="F4" s="29" t="str">
        <f>Translation!$A$46</f>
        <v>Part de la somme du bilan</v>
      </c>
      <c r="G4" s="28" t="str">
        <f>Translation!$A$40</f>
        <v>Nombre d'IP</v>
      </c>
      <c r="H4" s="19" t="str">
        <f>Translation!$A$41</f>
        <v>Nombre d'assurés actifs</v>
      </c>
      <c r="I4" s="19" t="str">
        <f>Translation!$A$42</f>
        <v>Nombre de rentiers</v>
      </c>
      <c r="J4" s="149" t="str">
        <f>Translation!$A$43</f>
        <v>Somme du bilan</v>
      </c>
      <c r="K4" s="29" t="str">
        <f>Translation!$A$46</f>
        <v>Part de la somme du bilan</v>
      </c>
      <c r="L4" s="28" t="str">
        <f>Translation!$A$40</f>
        <v>Nombre d'IP</v>
      </c>
      <c r="M4" s="73" t="str">
        <f>Translation!$A$41</f>
        <v>Nombre d'assurés actifs</v>
      </c>
      <c r="N4" s="73" t="str">
        <f>Translation!$A$42</f>
        <v>Nombre de rentiers</v>
      </c>
      <c r="O4" s="149" t="str">
        <f>Translation!$A$43</f>
        <v>Somme du bilan</v>
      </c>
      <c r="P4" s="29" t="str">
        <f>Translation!$A$46</f>
        <v>Part de la somme du bilan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toutes les institutions de prévoyance</v>
      </c>
      <c r="M11" s="75"/>
      <c r="N11" s="75"/>
    </row>
    <row r="12" spans="1:16" x14ac:dyDescent="0.2">
      <c r="A12" s="115" t="str">
        <f>Translation!$A53</f>
        <v>1 – faible</v>
      </c>
      <c r="B12" s="30">
        <v>434</v>
      </c>
      <c r="C12" s="6">
        <v>1337289</v>
      </c>
      <c r="D12" s="6">
        <v>22225</v>
      </c>
      <c r="E12" s="151">
        <v>89250.020999999993</v>
      </c>
      <c r="F12" s="31">
        <f>E12/E$36</f>
        <v>0.10856419105770677</v>
      </c>
      <c r="G12" s="41">
        <v>393</v>
      </c>
      <c r="H12" s="42">
        <v>1365797</v>
      </c>
      <c r="I12" s="42">
        <v>99999</v>
      </c>
      <c r="J12" s="161">
        <v>51428.095000000001</v>
      </c>
      <c r="K12" s="44">
        <f>J12/J$36</f>
        <v>7.0430848856404757E-2</v>
      </c>
      <c r="L12" s="76">
        <v>280</v>
      </c>
      <c r="M12" s="123">
        <v>667414</v>
      </c>
      <c r="N12" s="123">
        <v>21075</v>
      </c>
      <c r="O12" s="168">
        <v>51115.136366000013</v>
      </c>
      <c r="P12" s="125">
        <f>O12/O$36</f>
        <v>7.5963102890720183E-2</v>
      </c>
    </row>
    <row r="13" spans="1:16" x14ac:dyDescent="0.2">
      <c r="A13" s="115" t="str">
        <f>Translation!$A54</f>
        <v>2 – plutôt faible</v>
      </c>
      <c r="B13" s="30">
        <v>422</v>
      </c>
      <c r="C13" s="6">
        <v>817207</v>
      </c>
      <c r="D13" s="6">
        <v>84229</v>
      </c>
      <c r="E13" s="151">
        <v>99333.774000000005</v>
      </c>
      <c r="F13" s="31">
        <f>E13/E$36</f>
        <v>0.12083012080208998</v>
      </c>
      <c r="G13" s="41">
        <v>448</v>
      </c>
      <c r="H13" s="42">
        <v>768076</v>
      </c>
      <c r="I13" s="42">
        <v>89561</v>
      </c>
      <c r="J13" s="161">
        <v>82490.589000000007</v>
      </c>
      <c r="K13" s="44">
        <f>J13/J$36</f>
        <v>0.1129709783326566</v>
      </c>
      <c r="L13" s="76">
        <v>382</v>
      </c>
      <c r="M13" s="123">
        <v>930870</v>
      </c>
      <c r="N13" s="123">
        <v>127099</v>
      </c>
      <c r="O13" s="168">
        <v>80710.55862400007</v>
      </c>
      <c r="P13" s="125">
        <f>O13/O$36</f>
        <v>0.11994538027292756</v>
      </c>
    </row>
    <row r="14" spans="1:16" x14ac:dyDescent="0.2">
      <c r="A14" s="115" t="str">
        <f>Translation!$A55</f>
        <v>3 – moyen</v>
      </c>
      <c r="B14" s="30">
        <v>531</v>
      </c>
      <c r="C14" s="6">
        <v>879366</v>
      </c>
      <c r="D14" s="6">
        <v>189915</v>
      </c>
      <c r="E14" s="151">
        <v>208569.61600000001</v>
      </c>
      <c r="F14" s="31">
        <f>E14/E$36</f>
        <v>0.25370516876692434</v>
      </c>
      <c r="G14" s="41">
        <v>558</v>
      </c>
      <c r="H14" s="42">
        <v>755501</v>
      </c>
      <c r="I14" s="42">
        <v>157477</v>
      </c>
      <c r="J14" s="161">
        <v>145581.27100000001</v>
      </c>
      <c r="K14" s="44">
        <f>J14/J$36</f>
        <v>0.19937375658430087</v>
      </c>
      <c r="L14" s="76">
        <v>546</v>
      </c>
      <c r="M14" s="123">
        <v>836100</v>
      </c>
      <c r="N14" s="123">
        <v>139269</v>
      </c>
      <c r="O14" s="168">
        <v>96896.989372999946</v>
      </c>
      <c r="P14" s="125">
        <f>O14/O$36</f>
        <v>0.14400031960862034</v>
      </c>
    </row>
    <row r="15" spans="1:16" x14ac:dyDescent="0.2">
      <c r="A15" s="115" t="str">
        <f>Translation!$A56</f>
        <v>4 – plutôt élevé</v>
      </c>
      <c r="B15" s="30">
        <v>360</v>
      </c>
      <c r="C15" s="6">
        <v>961767</v>
      </c>
      <c r="D15" s="6">
        <v>542433</v>
      </c>
      <c r="E15" s="151">
        <v>408351.495</v>
      </c>
      <c r="F15" s="31">
        <f>E15/E$36</f>
        <v>0.49672088841166989</v>
      </c>
      <c r="G15" s="41">
        <v>389</v>
      </c>
      <c r="H15" s="42">
        <v>1031618</v>
      </c>
      <c r="I15" s="42">
        <v>563883</v>
      </c>
      <c r="J15" s="161">
        <v>430936.47600000002</v>
      </c>
      <c r="K15" s="44">
        <f>J15/J$36</f>
        <v>0.59016811351592346</v>
      </c>
      <c r="L15" s="76">
        <v>460</v>
      </c>
      <c r="M15" s="123">
        <v>1086814</v>
      </c>
      <c r="N15" s="123">
        <v>443530</v>
      </c>
      <c r="O15" s="168">
        <v>338547.67488199956</v>
      </c>
      <c r="P15" s="125">
        <f>O15/O$36</f>
        <v>0.50312165219188465</v>
      </c>
    </row>
    <row r="16" spans="1:16" x14ac:dyDescent="0.2">
      <c r="A16" s="115" t="str">
        <f>Translation!$A57</f>
        <v>5 – élevé</v>
      </c>
      <c r="B16" s="30">
        <v>98</v>
      </c>
      <c r="C16" s="6">
        <v>8408</v>
      </c>
      <c r="D16" s="6">
        <v>30016</v>
      </c>
      <c r="E16" s="151">
        <v>16589.562999999998</v>
      </c>
      <c r="F16" s="31">
        <f>E16/E$36</f>
        <v>2.0179630961609109E-2</v>
      </c>
      <c r="G16" s="41">
        <v>117</v>
      </c>
      <c r="H16" s="42">
        <v>11756</v>
      </c>
      <c r="I16" s="42">
        <v>32412</v>
      </c>
      <c r="J16" s="161">
        <v>19756.315999999999</v>
      </c>
      <c r="K16" s="44">
        <f>J16/J$36</f>
        <v>2.7056302710714266E-2</v>
      </c>
      <c r="L16" s="76">
        <v>194</v>
      </c>
      <c r="M16" s="123">
        <v>179300</v>
      </c>
      <c r="N16" s="123">
        <v>179972</v>
      </c>
      <c r="O16" s="168">
        <v>105623.906798</v>
      </c>
      <c r="P16" s="125">
        <f>O16/O$36</f>
        <v>0.15696954503584723</v>
      </c>
    </row>
    <row r="17" spans="2:16" ht="12.75" hidden="1" customHeight="1" x14ac:dyDescent="0.2">
      <c r="B17" s="30"/>
      <c r="C17" s="6"/>
      <c r="D17" s="6"/>
      <c r="E17" s="151"/>
      <c r="F17" s="31"/>
      <c r="G17" s="41"/>
      <c r="H17" s="42"/>
      <c r="I17" s="42"/>
      <c r="J17" s="161"/>
      <c r="K17" s="44"/>
      <c r="L17" s="76"/>
      <c r="M17" s="123"/>
      <c r="N17" s="123"/>
      <c r="O17" s="168"/>
      <c r="P17" s="125"/>
    </row>
    <row r="18" spans="2:16" ht="12.75" hidden="1" customHeight="1" x14ac:dyDescent="0.2">
      <c r="B18" s="30"/>
      <c r="C18" s="6"/>
      <c r="D18" s="6"/>
      <c r="E18" s="151"/>
      <c r="F18" s="31"/>
      <c r="G18" s="41"/>
      <c r="H18" s="42"/>
      <c r="I18" s="42"/>
      <c r="J18" s="161"/>
      <c r="K18" s="44"/>
      <c r="L18" s="76"/>
      <c r="M18" s="123"/>
      <c r="N18" s="123"/>
      <c r="O18" s="168"/>
      <c r="P18" s="125"/>
    </row>
    <row r="19" spans="2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2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2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2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2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2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2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2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2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2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2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2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2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2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0">SUM(C$12:C$35)</f>
        <v>4004037</v>
      </c>
      <c r="D36" s="7">
        <f t="shared" si="0"/>
        <v>868818</v>
      </c>
      <c r="E36" s="152">
        <f t="shared" si="0"/>
        <v>822094.46899999992</v>
      </c>
      <c r="F36" s="64">
        <f>SUM(F$12:F$35)</f>
        <v>1</v>
      </c>
      <c r="G36" s="45">
        <f t="shared" ref="G36:J36" si="1">SUM(G$12:G$35)</f>
        <v>1905</v>
      </c>
      <c r="H36" s="65">
        <f t="shared" si="1"/>
        <v>3932748</v>
      </c>
      <c r="I36" s="65">
        <f t="shared" si="1"/>
        <v>943332</v>
      </c>
      <c r="J36" s="162">
        <f t="shared" si="1"/>
        <v>730192.74700000009</v>
      </c>
      <c r="K36" s="66">
        <f t="shared" ref="K36:O36" si="2">SUM(K$12:K$35)</f>
        <v>0.99999999999999989</v>
      </c>
      <c r="L36" s="77">
        <f t="shared" si="2"/>
        <v>1862</v>
      </c>
      <c r="M36" s="126">
        <f t="shared" si="2"/>
        <v>3700498</v>
      </c>
      <c r="N36" s="126">
        <f t="shared" si="2"/>
        <v>910945</v>
      </c>
      <c r="O36" s="169">
        <f t="shared" si="2"/>
        <v>672894.26604299957</v>
      </c>
      <c r="P36" s="128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institutions de prévoyance sans garantie étatique</v>
      </c>
      <c r="M51" s="75"/>
      <c r="N51" s="75"/>
    </row>
    <row r="52" spans="1:16" x14ac:dyDescent="0.2">
      <c r="A52" s="115" t="str">
        <f>$A$12</f>
        <v>1 – faible</v>
      </c>
      <c r="B52" s="33">
        <v>434</v>
      </c>
      <c r="C52" s="8">
        <v>1337289</v>
      </c>
      <c r="D52" s="8">
        <v>22225</v>
      </c>
      <c r="E52" s="153">
        <v>89250.020999999993</v>
      </c>
      <c r="F52" s="34">
        <f>E52/E$76</f>
        <v>0.12456388362781642</v>
      </c>
      <c r="G52" s="47">
        <v>393</v>
      </c>
      <c r="H52" s="48">
        <v>1365797</v>
      </c>
      <c r="I52" s="48">
        <v>99999</v>
      </c>
      <c r="J52" s="163">
        <v>51428.095000000001</v>
      </c>
      <c r="K52" s="50">
        <f>J52/J$76</f>
        <v>8.2264792782187318E-2</v>
      </c>
      <c r="L52" s="129">
        <v>279</v>
      </c>
      <c r="M52" s="130">
        <v>667409</v>
      </c>
      <c r="N52" s="130">
        <v>21066</v>
      </c>
      <c r="O52" s="170">
        <v>51111.774366000012</v>
      </c>
      <c r="P52" s="132">
        <f>O52/O$76</f>
        <v>8.9024033000754468E-2</v>
      </c>
    </row>
    <row r="53" spans="1:16" x14ac:dyDescent="0.2">
      <c r="A53" s="115" t="str">
        <f>$A$13</f>
        <v>2 – plutôt faible</v>
      </c>
      <c r="B53" s="33">
        <v>421</v>
      </c>
      <c r="C53" s="8">
        <v>816817</v>
      </c>
      <c r="D53" s="8">
        <v>84121</v>
      </c>
      <c r="E53" s="153">
        <v>99306.77</v>
      </c>
      <c r="F53" s="34">
        <f>E53/E$76</f>
        <v>0.13859982107717747</v>
      </c>
      <c r="G53" s="47">
        <v>446</v>
      </c>
      <c r="H53" s="48">
        <v>767621</v>
      </c>
      <c r="I53" s="48">
        <v>89439</v>
      </c>
      <c r="J53" s="163">
        <v>82484.955000000002</v>
      </c>
      <c r="K53" s="50">
        <f>J53/J$76</f>
        <v>0.13194359485263932</v>
      </c>
      <c r="L53" s="129">
        <v>379</v>
      </c>
      <c r="M53" s="130">
        <v>920149</v>
      </c>
      <c r="N53" s="130">
        <v>125217</v>
      </c>
      <c r="O53" s="170">
        <v>79509.151624000064</v>
      </c>
      <c r="P53" s="132">
        <f>O53/O$76</f>
        <v>0.13848522039855984</v>
      </c>
    </row>
    <row r="54" spans="1:16" x14ac:dyDescent="0.2">
      <c r="A54" s="115" t="str">
        <f>$A$14</f>
        <v>3 – moyen</v>
      </c>
      <c r="B54" s="33">
        <v>522</v>
      </c>
      <c r="C54" s="8">
        <v>818828</v>
      </c>
      <c r="D54" s="8">
        <v>171894</v>
      </c>
      <c r="E54" s="153">
        <v>191671.67999999999</v>
      </c>
      <c r="F54" s="34">
        <f>E54/E$76</f>
        <v>0.26751107254381568</v>
      </c>
      <c r="G54" s="47">
        <v>548</v>
      </c>
      <c r="H54" s="48">
        <v>700680</v>
      </c>
      <c r="I54" s="48">
        <v>141398</v>
      </c>
      <c r="J54" s="163">
        <v>132007.72200000001</v>
      </c>
      <c r="K54" s="50">
        <f>J54/J$76</f>
        <v>0.21116060970134301</v>
      </c>
      <c r="L54" s="129">
        <v>541</v>
      </c>
      <c r="M54" s="130">
        <v>812104</v>
      </c>
      <c r="N54" s="130">
        <v>133301</v>
      </c>
      <c r="O54" s="170">
        <v>92095.74437299995</v>
      </c>
      <c r="P54" s="132">
        <f>O54/O$76</f>
        <v>0.16040794294445124</v>
      </c>
    </row>
    <row r="55" spans="1:16" x14ac:dyDescent="0.2">
      <c r="A55" s="115" t="str">
        <f>$A$15</f>
        <v>4 – plutôt élevé</v>
      </c>
      <c r="B55" s="33">
        <v>330</v>
      </c>
      <c r="C55" s="8">
        <v>683333</v>
      </c>
      <c r="D55" s="8">
        <v>406751</v>
      </c>
      <c r="E55" s="153">
        <v>319792.79200000002</v>
      </c>
      <c r="F55" s="34">
        <f>E55/E$76</f>
        <v>0.44632630537647167</v>
      </c>
      <c r="G55" s="47">
        <v>346</v>
      </c>
      <c r="H55" s="48">
        <v>728796</v>
      </c>
      <c r="I55" s="48">
        <v>420481</v>
      </c>
      <c r="J55" s="163">
        <v>339524.94799999997</v>
      </c>
      <c r="K55" s="50">
        <f>J55/J$76</f>
        <v>0.54310682695135648</v>
      </c>
      <c r="L55" s="129">
        <v>409</v>
      </c>
      <c r="M55" s="130">
        <v>765994</v>
      </c>
      <c r="N55" s="130">
        <v>311664</v>
      </c>
      <c r="O55" s="170">
        <v>252385.45488199958</v>
      </c>
      <c r="P55" s="132">
        <f>O55/O$76</f>
        <v>0.43959285982588997</v>
      </c>
    </row>
    <row r="56" spans="1:16" x14ac:dyDescent="0.2">
      <c r="A56" s="115" t="str">
        <f>$A$16</f>
        <v>5 – élevé</v>
      </c>
      <c r="B56" s="33">
        <v>95</v>
      </c>
      <c r="C56" s="8">
        <v>8390</v>
      </c>
      <c r="D56" s="8">
        <v>29915</v>
      </c>
      <c r="E56" s="153">
        <v>16478.723999999998</v>
      </c>
      <c r="F56" s="34">
        <f>E56/E$76</f>
        <v>2.2998917374718663E-2</v>
      </c>
      <c r="G56" s="47">
        <v>114</v>
      </c>
      <c r="H56" s="48">
        <v>11738</v>
      </c>
      <c r="I56" s="48">
        <v>32310</v>
      </c>
      <c r="J56" s="163">
        <v>19707.437999999998</v>
      </c>
      <c r="K56" s="50">
        <f>J56/J$76</f>
        <v>3.1524175712473963E-2</v>
      </c>
      <c r="L56" s="129">
        <v>188</v>
      </c>
      <c r="M56" s="130">
        <v>149493</v>
      </c>
      <c r="N56" s="130">
        <v>164453</v>
      </c>
      <c r="O56" s="170">
        <v>99032.438683</v>
      </c>
      <c r="P56" s="132">
        <f>O56/O$76</f>
        <v>0.17248994383034452</v>
      </c>
    </row>
    <row r="57" spans="1:16" ht="12.75" hidden="1" customHeight="1" x14ac:dyDescent="0.2">
      <c r="B57" s="33"/>
      <c r="C57" s="8"/>
      <c r="D57" s="8"/>
      <c r="E57" s="153"/>
      <c r="F57" s="34"/>
      <c r="G57" s="47"/>
      <c r="H57" s="48"/>
      <c r="I57" s="48"/>
      <c r="J57" s="163"/>
      <c r="K57" s="50"/>
      <c r="L57" s="129"/>
      <c r="M57" s="130"/>
      <c r="N57" s="130"/>
      <c r="O57" s="170"/>
      <c r="P57" s="132"/>
    </row>
    <row r="58" spans="1:16" ht="12.75" hidden="1" customHeight="1" x14ac:dyDescent="0.2">
      <c r="B58" s="33"/>
      <c r="C58" s="8"/>
      <c r="D58" s="8"/>
      <c r="E58" s="153"/>
      <c r="F58" s="34"/>
      <c r="G58" s="47"/>
      <c r="H58" s="48"/>
      <c r="I58" s="48"/>
      <c r="J58" s="163"/>
      <c r="K58" s="50"/>
      <c r="L58" s="129"/>
      <c r="M58" s="130"/>
      <c r="N58" s="130"/>
      <c r="O58" s="170"/>
      <c r="P58" s="132"/>
    </row>
    <row r="59" spans="1:16" ht="12.75" hidden="1" customHeight="1" x14ac:dyDescent="0.2"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tr">
        <f>$A$36</f>
        <v>Total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716499.98700000008</v>
      </c>
      <c r="F76" s="67">
        <f t="shared" ref="F76:J76" si="3">SUM(F$52:F$75)</f>
        <v>1</v>
      </c>
      <c r="G76" s="51">
        <f t="shared" si="3"/>
        <v>1847</v>
      </c>
      <c r="H76" s="68">
        <f t="shared" si="3"/>
        <v>3574632</v>
      </c>
      <c r="I76" s="68">
        <f t="shared" si="3"/>
        <v>783627</v>
      </c>
      <c r="J76" s="164">
        <f t="shared" si="3"/>
        <v>625153.15799999994</v>
      </c>
      <c r="K76" s="69">
        <f t="shared" ref="K76:O76" si="4">SUM(K$52:K$75)</f>
        <v>1</v>
      </c>
      <c r="L76" s="133">
        <f t="shared" si="4"/>
        <v>1796</v>
      </c>
      <c r="M76" s="134">
        <f t="shared" si="4"/>
        <v>3315149</v>
      </c>
      <c r="N76" s="134">
        <f t="shared" si="4"/>
        <v>755701</v>
      </c>
      <c r="O76" s="171">
        <f t="shared" si="4"/>
        <v>574134.56392799958</v>
      </c>
      <c r="P76" s="136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institutions de prévoyance avec garantie étatique</v>
      </c>
      <c r="M91" s="75"/>
      <c r="N91" s="75"/>
    </row>
    <row r="92" spans="1:16" x14ac:dyDescent="0.2">
      <c r="A92" s="115" t="str">
        <f>$A$12</f>
        <v>1 – faible</v>
      </c>
      <c r="B92" s="36">
        <v>0</v>
      </c>
      <c r="C92" s="10">
        <v>0</v>
      </c>
      <c r="D92" s="10">
        <v>0</v>
      </c>
      <c r="E92" s="155">
        <v>0</v>
      </c>
      <c r="F92" s="37">
        <f>E92/E$116</f>
        <v>0</v>
      </c>
      <c r="G92" s="53">
        <v>0</v>
      </c>
      <c r="H92" s="54">
        <v>0</v>
      </c>
      <c r="I92" s="54">
        <v>0</v>
      </c>
      <c r="J92" s="165">
        <v>0</v>
      </c>
      <c r="K92" s="56">
        <f>J92/J$116</f>
        <v>0</v>
      </c>
      <c r="L92" s="137">
        <v>1</v>
      </c>
      <c r="M92" s="138">
        <v>5</v>
      </c>
      <c r="N92" s="138">
        <v>9</v>
      </c>
      <c r="O92" s="172">
        <v>3.3620000000000001</v>
      </c>
      <c r="P92" s="140">
        <f>O92/O$116</f>
        <v>3.4042224996640287E-5</v>
      </c>
    </row>
    <row r="93" spans="1:16" x14ac:dyDescent="0.2">
      <c r="A93" s="115" t="str">
        <f>$A$13</f>
        <v>2 – plutôt faible</v>
      </c>
      <c r="B93" s="36">
        <v>1</v>
      </c>
      <c r="C93" s="10">
        <v>390</v>
      </c>
      <c r="D93" s="10">
        <v>108</v>
      </c>
      <c r="E93" s="155">
        <v>27.004000000000001</v>
      </c>
      <c r="F93" s="37">
        <f>E93/E$116</f>
        <v>2.557330599907673E-4</v>
      </c>
      <c r="G93" s="53">
        <v>2</v>
      </c>
      <c r="H93" s="54">
        <v>455</v>
      </c>
      <c r="I93" s="54">
        <v>122</v>
      </c>
      <c r="J93" s="165">
        <v>5.6340000000000003</v>
      </c>
      <c r="K93" s="56">
        <f>J93/J$116</f>
        <v>5.3636919695106577E-5</v>
      </c>
      <c r="L93" s="137">
        <v>3</v>
      </c>
      <c r="M93" s="138">
        <v>10721</v>
      </c>
      <c r="N93" s="138">
        <v>1881.9999999999998</v>
      </c>
      <c r="O93" s="172">
        <v>1201.4070000000002</v>
      </c>
      <c r="P93" s="140">
        <f>O93/O$116</f>
        <v>1.2164951637875853E-2</v>
      </c>
    </row>
    <row r="94" spans="1:16" x14ac:dyDescent="0.2">
      <c r="A94" s="115" t="str">
        <f>$A$14</f>
        <v>3 – moyen</v>
      </c>
      <c r="B94" s="36">
        <v>9</v>
      </c>
      <c r="C94" s="10">
        <v>60538</v>
      </c>
      <c r="D94" s="10">
        <v>18021</v>
      </c>
      <c r="E94" s="155">
        <v>16897.936000000002</v>
      </c>
      <c r="F94" s="37">
        <f>E94/E$116</f>
        <v>0.16002669533432629</v>
      </c>
      <c r="G94" s="53">
        <v>10</v>
      </c>
      <c r="H94" s="54">
        <v>54821</v>
      </c>
      <c r="I94" s="54">
        <v>16079</v>
      </c>
      <c r="J94" s="165">
        <v>13573.549000000001</v>
      </c>
      <c r="K94" s="56">
        <f>J94/J$116</f>
        <v>0.12922317317901919</v>
      </c>
      <c r="L94" s="137">
        <v>5</v>
      </c>
      <c r="M94" s="138">
        <v>23996</v>
      </c>
      <c r="N94" s="138">
        <v>5968</v>
      </c>
      <c r="O94" s="172">
        <v>4801.2449999999999</v>
      </c>
      <c r="P94" s="140">
        <f>O94/O$116</f>
        <v>4.8615426101723432E-2</v>
      </c>
    </row>
    <row r="95" spans="1:16" x14ac:dyDescent="0.2">
      <c r="A95" s="115" t="str">
        <f>$A$15</f>
        <v>4 – plutôt élevé</v>
      </c>
      <c r="B95" s="36">
        <v>30</v>
      </c>
      <c r="C95" s="10">
        <v>278434</v>
      </c>
      <c r="D95" s="10">
        <v>135682</v>
      </c>
      <c r="E95" s="155">
        <v>88558.702999999994</v>
      </c>
      <c r="F95" s="37">
        <f>E95/E$116</f>
        <v>0.83866790501420319</v>
      </c>
      <c r="G95" s="53">
        <v>43</v>
      </c>
      <c r="H95" s="54">
        <v>302822</v>
      </c>
      <c r="I95" s="54">
        <v>143402</v>
      </c>
      <c r="J95" s="165">
        <v>91411.528000000006</v>
      </c>
      <c r="K95" s="56">
        <f>J95/J$116</f>
        <v>0.87025786058625954</v>
      </c>
      <c r="L95" s="137">
        <v>51</v>
      </c>
      <c r="M95" s="138">
        <v>320820</v>
      </c>
      <c r="N95" s="138">
        <v>131866</v>
      </c>
      <c r="O95" s="172">
        <v>86162.219999999972</v>
      </c>
      <c r="P95" s="140">
        <f>O95/O$116</f>
        <v>0.87244309323320002</v>
      </c>
    </row>
    <row r="96" spans="1:16" x14ac:dyDescent="0.2">
      <c r="A96" s="115" t="str">
        <f>$A$16</f>
        <v>5 – élevé</v>
      </c>
      <c r="B96" s="36">
        <v>3</v>
      </c>
      <c r="C96" s="10">
        <v>18</v>
      </c>
      <c r="D96" s="10">
        <v>101</v>
      </c>
      <c r="E96" s="155">
        <v>110.839</v>
      </c>
      <c r="F96" s="37">
        <f>E96/E$116</f>
        <v>1.049666591479657E-3</v>
      </c>
      <c r="G96" s="53">
        <v>3</v>
      </c>
      <c r="H96" s="54">
        <v>18</v>
      </c>
      <c r="I96" s="54">
        <v>102</v>
      </c>
      <c r="J96" s="165">
        <v>48.878</v>
      </c>
      <c r="K96" s="56">
        <f>J96/J$116</f>
        <v>4.6532931502616596E-4</v>
      </c>
      <c r="L96" s="137">
        <v>6</v>
      </c>
      <c r="M96" s="138">
        <v>29807</v>
      </c>
      <c r="N96" s="138">
        <v>15519</v>
      </c>
      <c r="O96" s="172">
        <v>6591.4681150000006</v>
      </c>
      <c r="P96" s="140">
        <f>O96/O$116</f>
        <v>6.6742486802204168E-2</v>
      </c>
    </row>
    <row r="97" spans="2:16" ht="12.75" hidden="1" customHeight="1" x14ac:dyDescent="0.2">
      <c r="B97" s="36"/>
      <c r="C97" s="10"/>
      <c r="D97" s="10"/>
      <c r="E97" s="155"/>
      <c r="F97" s="37"/>
      <c r="G97" s="53"/>
      <c r="H97" s="54"/>
      <c r="I97" s="54"/>
      <c r="J97" s="165"/>
      <c r="K97" s="56"/>
      <c r="L97" s="137"/>
      <c r="M97" s="138"/>
      <c r="N97" s="138"/>
      <c r="O97" s="172"/>
      <c r="P97" s="140"/>
    </row>
    <row r="98" spans="2:16" ht="12.75" hidden="1" customHeight="1" x14ac:dyDescent="0.2">
      <c r="B98" s="36"/>
      <c r="C98" s="10"/>
      <c r="D98" s="10"/>
      <c r="E98" s="155"/>
      <c r="F98" s="37"/>
      <c r="G98" s="53"/>
      <c r="H98" s="54"/>
      <c r="I98" s="54"/>
      <c r="J98" s="165"/>
      <c r="K98" s="56"/>
      <c r="L98" s="137"/>
      <c r="M98" s="138"/>
      <c r="N98" s="138"/>
      <c r="O98" s="172"/>
      <c r="P98" s="140"/>
    </row>
    <row r="99" spans="2:16" ht="12.75" hidden="1" customHeight="1" x14ac:dyDescent="0.2"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2:16" ht="12.75" hidden="1" customHeight="1" x14ac:dyDescent="0.2"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2:16" ht="12.75" hidden="1" customHeight="1" x14ac:dyDescent="0.2"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2:16" ht="12.75" hidden="1" customHeight="1" x14ac:dyDescent="0.2"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2:16" ht="12.75" hidden="1" customHeight="1" x14ac:dyDescent="0.2"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2:16" ht="12.75" hidden="1" customHeight="1" x14ac:dyDescent="0.2"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2:16" ht="12.75" hidden="1" customHeight="1" x14ac:dyDescent="0.2"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2:16" ht="12.75" hidden="1" customHeight="1" x14ac:dyDescent="0.2"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2:16" ht="12.75" hidden="1" customHeight="1" x14ac:dyDescent="0.2"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2:16" ht="12.75" hidden="1" customHeight="1" x14ac:dyDescent="0.2"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2:16" ht="12.75" hidden="1" customHeight="1" x14ac:dyDescent="0.2"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2:16" ht="12.75" hidden="1" customHeight="1" x14ac:dyDescent="0.2"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2:16" ht="12.75" hidden="1" customHeight="1" x14ac:dyDescent="0.2"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2:16" ht="12.75" hidden="1" customHeight="1" x14ac:dyDescent="0.2"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tr">
        <f>$A$36</f>
        <v>Total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:J116" si="5">SUM(F$92:F$115)</f>
        <v>0.99999999999999989</v>
      </c>
      <c r="G116" s="57">
        <f t="shared" si="5"/>
        <v>58</v>
      </c>
      <c r="H116" s="71">
        <f t="shared" si="5"/>
        <v>358116</v>
      </c>
      <c r="I116" s="71">
        <f t="shared" si="5"/>
        <v>159705</v>
      </c>
      <c r="J116" s="166">
        <f t="shared" si="5"/>
        <v>105039.58900000001</v>
      </c>
      <c r="K116" s="72">
        <f t="shared" ref="K116:O116" si="6">SUM(K$92:K$115)</f>
        <v>1</v>
      </c>
      <c r="L116" s="141">
        <f t="shared" si="6"/>
        <v>66</v>
      </c>
      <c r="M116" s="142">
        <f t="shared" si="6"/>
        <v>385349</v>
      </c>
      <c r="N116" s="142">
        <f t="shared" si="6"/>
        <v>155244</v>
      </c>
      <c r="O116" s="173">
        <f t="shared" si="6"/>
        <v>98759.702114999964</v>
      </c>
      <c r="P116" s="144">
        <f>SUM(P$92:P$115)</f>
        <v>1</v>
      </c>
    </row>
    <row r="120" spans="1:16" x14ac:dyDescent="0.2">
      <c r="A120" s="111" t="str">
        <f>Translation!$A$36</f>
        <v>somme du bilan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0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Translation!$A$51</f>
        <v>Risque lié à la stratégie de placement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retour à la vue d'ensemble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 t="str">
        <f>Translation!$A$52</f>
        <v>Niveau de risque</v>
      </c>
      <c r="B4" s="28" t="str">
        <f>Translation!$A$40</f>
        <v>Nombre d'IP</v>
      </c>
      <c r="C4" s="19" t="str">
        <f>Translation!$A$41</f>
        <v>Nombre d'assurés actifs</v>
      </c>
      <c r="D4" s="19" t="str">
        <f>Translation!$A$42</f>
        <v>Nombre de rentiers</v>
      </c>
      <c r="E4" s="149" t="str">
        <f>Translation!$A$43</f>
        <v>Somme du bilan</v>
      </c>
      <c r="F4" s="29" t="str">
        <f>Translation!$A$46</f>
        <v>Part de la somme du bilan</v>
      </c>
      <c r="G4" s="28" t="str">
        <f>Translation!$A$40</f>
        <v>Nombre d'IP</v>
      </c>
      <c r="H4" s="19" t="str">
        <f>Translation!$A$41</f>
        <v>Nombre d'assurés actifs</v>
      </c>
      <c r="I4" s="19" t="str">
        <f>Translation!$A$42</f>
        <v>Nombre de rentiers</v>
      </c>
      <c r="J4" s="149" t="str">
        <f>Translation!$A$43</f>
        <v>Somme du bilan</v>
      </c>
      <c r="K4" s="29" t="str">
        <f>Translation!$A$46</f>
        <v>Part de la somme du bilan</v>
      </c>
      <c r="L4" s="28" t="str">
        <f>Translation!$A$40</f>
        <v>Nombre d'IP</v>
      </c>
      <c r="M4" s="73" t="str">
        <f>Translation!$A$41</f>
        <v>Nombre d'assurés actifs</v>
      </c>
      <c r="N4" s="73" t="str">
        <f>Translation!$A$42</f>
        <v>Nombre de rentiers</v>
      </c>
      <c r="O4" s="149" t="str">
        <f>Translation!$A$43</f>
        <v>Somme du bilan</v>
      </c>
      <c r="P4" s="29" t="str">
        <f>Translation!$A$46</f>
        <v>Part de la somme du bilan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toutes les institutions de prévoyance</v>
      </c>
      <c r="M11" s="75"/>
      <c r="N11" s="75"/>
    </row>
    <row r="12" spans="1:16" x14ac:dyDescent="0.2">
      <c r="A12" s="115" t="str">
        <f>Translation!$A53</f>
        <v>1 – faible</v>
      </c>
      <c r="B12" s="30">
        <v>298</v>
      </c>
      <c r="C12" s="6">
        <v>1135598</v>
      </c>
      <c r="D12" s="6">
        <v>25250</v>
      </c>
      <c r="E12" s="151">
        <v>72933.468999999997</v>
      </c>
      <c r="F12" s="31">
        <f>E12/E$36</f>
        <v>8.8716652100477758E-2</v>
      </c>
      <c r="G12" s="41">
        <v>0</v>
      </c>
      <c r="H12" s="42">
        <v>0</v>
      </c>
      <c r="I12" s="42">
        <v>0</v>
      </c>
      <c r="J12" s="161">
        <v>0</v>
      </c>
      <c r="K12" s="44">
        <f>J12/J$36</f>
        <v>0</v>
      </c>
      <c r="L12" s="76">
        <v>0</v>
      </c>
      <c r="M12" s="123">
        <v>0</v>
      </c>
      <c r="N12" s="123">
        <v>0</v>
      </c>
      <c r="O12" s="168">
        <v>0</v>
      </c>
      <c r="P12" s="125">
        <f>O12/O$36</f>
        <v>0</v>
      </c>
    </row>
    <row r="13" spans="1:16" x14ac:dyDescent="0.2">
      <c r="A13" s="115" t="str">
        <f>Translation!$A54</f>
        <v>2 – plutôt faible</v>
      </c>
      <c r="B13" s="30">
        <v>383</v>
      </c>
      <c r="C13" s="6">
        <v>387252</v>
      </c>
      <c r="D13" s="6">
        <v>116343</v>
      </c>
      <c r="E13" s="151">
        <v>96328.438999999998</v>
      </c>
      <c r="F13" s="31">
        <f>E13/E$36</f>
        <v>0.11717441563276106</v>
      </c>
      <c r="G13" s="41">
        <v>253</v>
      </c>
      <c r="H13" s="42">
        <v>1135931</v>
      </c>
      <c r="I13" s="42">
        <v>105202</v>
      </c>
      <c r="J13" s="161">
        <v>32461.050999999999</v>
      </c>
      <c r="K13" s="44">
        <f>J13/J$36</f>
        <v>4.4455455266251775E-2</v>
      </c>
      <c r="L13" s="76">
        <v>166</v>
      </c>
      <c r="M13" s="123">
        <v>987559</v>
      </c>
      <c r="N13" s="123">
        <v>97687</v>
      </c>
      <c r="O13" s="168">
        <v>50198.456382000011</v>
      </c>
      <c r="P13" s="125">
        <f>O13/O$36</f>
        <v>7.4600808648876499E-2</v>
      </c>
    </row>
    <row r="14" spans="1:16" x14ac:dyDescent="0.2">
      <c r="A14" s="115" t="str">
        <f>Translation!$A55</f>
        <v>3 – moyen</v>
      </c>
      <c r="B14" s="30">
        <v>761</v>
      </c>
      <c r="C14" s="6">
        <v>1453797</v>
      </c>
      <c r="D14" s="6">
        <v>490630</v>
      </c>
      <c r="E14" s="151">
        <v>427918.62199999997</v>
      </c>
      <c r="F14" s="31">
        <f>E14/E$36</f>
        <v>0.52052244375335888</v>
      </c>
      <c r="G14" s="41">
        <v>902</v>
      </c>
      <c r="H14" s="42">
        <v>1324599</v>
      </c>
      <c r="I14" s="42">
        <v>458948</v>
      </c>
      <c r="J14" s="161">
        <v>380512.13500000001</v>
      </c>
      <c r="K14" s="44">
        <f>J14/J$36</f>
        <v>0.52111190718250178</v>
      </c>
      <c r="L14" s="76">
        <v>537</v>
      </c>
      <c r="M14" s="123">
        <v>625578</v>
      </c>
      <c r="N14" s="123">
        <v>187593</v>
      </c>
      <c r="O14" s="168">
        <v>144202.62041199999</v>
      </c>
      <c r="P14" s="125">
        <f>O14/O$36</f>
        <v>0.21430204965186175</v>
      </c>
    </row>
    <row r="15" spans="1:16" x14ac:dyDescent="0.2">
      <c r="A15" s="115" t="str">
        <f>Translation!$A56</f>
        <v>4 – plutôt élevé</v>
      </c>
      <c r="B15" s="30">
        <v>340</v>
      </c>
      <c r="C15" s="6">
        <v>939067</v>
      </c>
      <c r="D15" s="6">
        <v>209910</v>
      </c>
      <c r="E15" s="151">
        <v>193743.48</v>
      </c>
      <c r="F15" s="31">
        <f>E15/E$36</f>
        <v>0.23567057960585794</v>
      </c>
      <c r="G15" s="41">
        <v>645</v>
      </c>
      <c r="H15" s="42">
        <v>1150596</v>
      </c>
      <c r="I15" s="42">
        <v>282800</v>
      </c>
      <c r="J15" s="161">
        <v>229592.54199999999</v>
      </c>
      <c r="K15" s="44">
        <f>J15/J$36</f>
        <v>0.31442731106722427</v>
      </c>
      <c r="L15" s="76">
        <v>885</v>
      </c>
      <c r="M15" s="123">
        <v>1428415</v>
      </c>
      <c r="N15" s="123">
        <v>440174</v>
      </c>
      <c r="O15" s="168">
        <v>349447.60528199968</v>
      </c>
      <c r="P15" s="125">
        <f>O15/O$36</f>
        <v>0.51932023040848596</v>
      </c>
    </row>
    <row r="16" spans="1:16" x14ac:dyDescent="0.2">
      <c r="A16" s="115" t="str">
        <f>Translation!$A57</f>
        <v>5 – élevé</v>
      </c>
      <c r="B16" s="30">
        <v>63</v>
      </c>
      <c r="C16" s="6">
        <v>88323</v>
      </c>
      <c r="D16" s="6">
        <v>26685</v>
      </c>
      <c r="E16" s="151">
        <v>31170.458999999999</v>
      </c>
      <c r="F16" s="31">
        <f>E16/E$36</f>
        <v>3.7915908907544295E-2</v>
      </c>
      <c r="G16" s="41">
        <v>105</v>
      </c>
      <c r="H16" s="42">
        <v>321622</v>
      </c>
      <c r="I16" s="42">
        <v>96382</v>
      </c>
      <c r="J16" s="161">
        <v>87627.019</v>
      </c>
      <c r="K16" s="44">
        <f>J16/J$36</f>
        <v>0.12000532648402218</v>
      </c>
      <c r="L16" s="76">
        <v>274</v>
      </c>
      <c r="M16" s="123">
        <v>658946</v>
      </c>
      <c r="N16" s="123">
        <v>185491</v>
      </c>
      <c r="O16" s="168">
        <v>129045.58396700004</v>
      </c>
      <c r="P16" s="125">
        <f>O16/O$36</f>
        <v>0.19177691129077579</v>
      </c>
    </row>
    <row r="17" spans="2:16" ht="12.75" hidden="1" customHeight="1" x14ac:dyDescent="0.2">
      <c r="B17" s="30"/>
      <c r="C17" s="6"/>
      <c r="D17" s="6"/>
      <c r="E17" s="151"/>
      <c r="F17" s="31"/>
      <c r="G17" s="41"/>
      <c r="H17" s="42"/>
      <c r="I17" s="42"/>
      <c r="J17" s="161"/>
      <c r="K17" s="44"/>
      <c r="L17" s="76"/>
      <c r="M17" s="123"/>
      <c r="N17" s="123"/>
      <c r="O17" s="168"/>
      <c r="P17" s="125"/>
    </row>
    <row r="18" spans="2:16" ht="12.75" hidden="1" customHeight="1" x14ac:dyDescent="0.2">
      <c r="B18" s="30"/>
      <c r="C18" s="6"/>
      <c r="D18" s="6"/>
      <c r="E18" s="151"/>
      <c r="F18" s="31"/>
      <c r="G18" s="41"/>
      <c r="H18" s="42"/>
      <c r="I18" s="42"/>
      <c r="J18" s="161"/>
      <c r="K18" s="44"/>
      <c r="L18" s="76"/>
      <c r="M18" s="123"/>
      <c r="N18" s="123"/>
      <c r="O18" s="168"/>
      <c r="P18" s="125"/>
    </row>
    <row r="19" spans="2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2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2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2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2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2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2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2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2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2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2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2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2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2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0">SUM(C$12:C$35)</f>
        <v>4004037</v>
      </c>
      <c r="D36" s="7">
        <f t="shared" si="0"/>
        <v>868818</v>
      </c>
      <c r="E36" s="152">
        <f t="shared" si="0"/>
        <v>822094.46900000004</v>
      </c>
      <c r="F36" s="64">
        <f>SUM(F$12:F$35)</f>
        <v>0.99999999999999989</v>
      </c>
      <c r="G36" s="45">
        <f t="shared" ref="G36:J36" si="1">SUM(G$12:G$35)</f>
        <v>1905</v>
      </c>
      <c r="H36" s="65">
        <f t="shared" si="1"/>
        <v>3932748</v>
      </c>
      <c r="I36" s="65">
        <f t="shared" si="1"/>
        <v>943332</v>
      </c>
      <c r="J36" s="162">
        <f t="shared" si="1"/>
        <v>730192.74699999997</v>
      </c>
      <c r="K36" s="66">
        <f t="shared" ref="K36:O36" si="2">SUM(K$12:K$35)</f>
        <v>1</v>
      </c>
      <c r="L36" s="77">
        <f t="shared" si="2"/>
        <v>1862</v>
      </c>
      <c r="M36" s="126">
        <f t="shared" si="2"/>
        <v>3700498</v>
      </c>
      <c r="N36" s="126">
        <f t="shared" si="2"/>
        <v>910945</v>
      </c>
      <c r="O36" s="169">
        <f t="shared" si="2"/>
        <v>672894.26604299969</v>
      </c>
      <c r="P36" s="128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institutions de prévoyance sans garantie étatique</v>
      </c>
      <c r="M51" s="75"/>
      <c r="N51" s="75"/>
    </row>
    <row r="52" spans="1:16" x14ac:dyDescent="0.2">
      <c r="A52" s="115" t="str">
        <f>$A$12</f>
        <v>1 – faible</v>
      </c>
      <c r="B52" s="33">
        <v>295</v>
      </c>
      <c r="C52" s="8">
        <v>1135580</v>
      </c>
      <c r="D52" s="8">
        <v>25149</v>
      </c>
      <c r="E52" s="153">
        <v>72822.63</v>
      </c>
      <c r="F52" s="34">
        <f>E52/E$76</f>
        <v>0.1016366103576775</v>
      </c>
      <c r="G52" s="47">
        <v>0</v>
      </c>
      <c r="H52" s="48">
        <v>0</v>
      </c>
      <c r="I52" s="48">
        <v>0</v>
      </c>
      <c r="J52" s="163">
        <v>0</v>
      </c>
      <c r="K52" s="50">
        <f>J52/J$76</f>
        <v>0</v>
      </c>
      <c r="L52" s="129">
        <v>0</v>
      </c>
      <c r="M52" s="130">
        <v>0</v>
      </c>
      <c r="N52" s="130">
        <v>0</v>
      </c>
      <c r="O52" s="170">
        <v>0</v>
      </c>
      <c r="P52" s="132">
        <f>O52/O$76</f>
        <v>0</v>
      </c>
    </row>
    <row r="53" spans="1:16" x14ac:dyDescent="0.2">
      <c r="A53" s="115" t="str">
        <f>$A$13</f>
        <v>2 – plutôt faible</v>
      </c>
      <c r="B53" s="33">
        <v>373</v>
      </c>
      <c r="C53" s="8">
        <v>350439</v>
      </c>
      <c r="D53" s="8">
        <v>101946</v>
      </c>
      <c r="E53" s="153">
        <v>87226.891000000003</v>
      </c>
      <c r="F53" s="34">
        <f>E53/E$76</f>
        <v>0.12174025482571292</v>
      </c>
      <c r="G53" s="47">
        <v>246</v>
      </c>
      <c r="H53" s="48">
        <v>1135211</v>
      </c>
      <c r="I53" s="48">
        <v>104759</v>
      </c>
      <c r="J53" s="163">
        <v>32146.351999999999</v>
      </c>
      <c r="K53" s="50">
        <f>J53/J$76</f>
        <v>5.1421562202201967E-2</v>
      </c>
      <c r="L53" s="129">
        <v>165</v>
      </c>
      <c r="M53" s="130">
        <v>987546</v>
      </c>
      <c r="N53" s="130">
        <v>97679</v>
      </c>
      <c r="O53" s="170">
        <v>50197.208382000012</v>
      </c>
      <c r="P53" s="132">
        <f>O53/O$76</f>
        <v>8.7431085908799375E-2</v>
      </c>
    </row>
    <row r="54" spans="1:16" x14ac:dyDescent="0.2">
      <c r="A54" s="115" t="str">
        <f>$A$14</f>
        <v>3 – moyen</v>
      </c>
      <c r="B54" s="33">
        <v>739</v>
      </c>
      <c r="C54" s="8">
        <v>1267357</v>
      </c>
      <c r="D54" s="8">
        <v>405094</v>
      </c>
      <c r="E54" s="153">
        <v>365070.02600000001</v>
      </c>
      <c r="F54" s="34">
        <f>E54/E$76</f>
        <v>0.50951853820480242</v>
      </c>
      <c r="G54" s="47">
        <v>875</v>
      </c>
      <c r="H54" s="48">
        <v>1167912</v>
      </c>
      <c r="I54" s="48">
        <v>397134</v>
      </c>
      <c r="J54" s="163">
        <v>337973.41899999999</v>
      </c>
      <c r="K54" s="50">
        <f>J54/J$76</f>
        <v>0.54062498873276099</v>
      </c>
      <c r="L54" s="129">
        <v>518</v>
      </c>
      <c r="M54" s="130">
        <v>511193</v>
      </c>
      <c r="N54" s="130">
        <v>148075</v>
      </c>
      <c r="O54" s="170">
        <v>116301.13129699997</v>
      </c>
      <c r="P54" s="132">
        <f>O54/O$76</f>
        <v>0.20256772297649878</v>
      </c>
    </row>
    <row r="55" spans="1:16" x14ac:dyDescent="0.2">
      <c r="A55" s="115" t="str">
        <f>$A$15</f>
        <v>4 – plutôt élevé</v>
      </c>
      <c r="B55" s="33">
        <v>332</v>
      </c>
      <c r="C55" s="8">
        <v>822958</v>
      </c>
      <c r="D55" s="8">
        <v>156032</v>
      </c>
      <c r="E55" s="153">
        <v>160209.981</v>
      </c>
      <c r="F55" s="34">
        <f>E55/E$76</f>
        <v>0.22360081494321085</v>
      </c>
      <c r="G55" s="47">
        <v>626</v>
      </c>
      <c r="H55" s="48">
        <v>1023917</v>
      </c>
      <c r="I55" s="48">
        <v>219220</v>
      </c>
      <c r="J55" s="163">
        <v>186765.87400000001</v>
      </c>
      <c r="K55" s="50">
        <f>J55/J$76</f>
        <v>0.29875218833974121</v>
      </c>
      <c r="L55" s="129">
        <v>848</v>
      </c>
      <c r="M55" s="130">
        <v>1293510</v>
      </c>
      <c r="N55" s="130">
        <v>384316</v>
      </c>
      <c r="O55" s="170">
        <v>316331.02328199969</v>
      </c>
      <c r="P55" s="132">
        <f>O55/O$76</f>
        <v>0.55097017869432729</v>
      </c>
    </row>
    <row r="56" spans="1:16" x14ac:dyDescent="0.2">
      <c r="A56" s="115" t="str">
        <f>$A$16</f>
        <v>5 – élevé</v>
      </c>
      <c r="B56" s="33">
        <v>63</v>
      </c>
      <c r="C56" s="8">
        <v>88323</v>
      </c>
      <c r="D56" s="8">
        <v>26685</v>
      </c>
      <c r="E56" s="153">
        <v>31170.458999999999</v>
      </c>
      <c r="F56" s="34">
        <f>E56/E$76</f>
        <v>4.350378166859617E-2</v>
      </c>
      <c r="G56" s="47">
        <v>100</v>
      </c>
      <c r="H56" s="48">
        <v>247592</v>
      </c>
      <c r="I56" s="48">
        <v>62514</v>
      </c>
      <c r="J56" s="163">
        <v>68267.513000000006</v>
      </c>
      <c r="K56" s="50">
        <f>J56/J$76</f>
        <v>0.10920126072529573</v>
      </c>
      <c r="L56" s="129">
        <v>265</v>
      </c>
      <c r="M56" s="130">
        <v>522900</v>
      </c>
      <c r="N56" s="130">
        <v>125631</v>
      </c>
      <c r="O56" s="170">
        <v>91305.200967000041</v>
      </c>
      <c r="P56" s="132">
        <f>O56/O$76</f>
        <v>0.15903101242037454</v>
      </c>
    </row>
    <row r="57" spans="1:16" ht="12.75" hidden="1" customHeight="1" x14ac:dyDescent="0.2">
      <c r="B57" s="33"/>
      <c r="C57" s="8"/>
      <c r="D57" s="8"/>
      <c r="E57" s="153"/>
      <c r="F57" s="34"/>
      <c r="G57" s="47"/>
      <c r="H57" s="48"/>
      <c r="I57" s="48"/>
      <c r="J57" s="163"/>
      <c r="K57" s="50"/>
      <c r="L57" s="129"/>
      <c r="M57" s="130"/>
      <c r="N57" s="130"/>
      <c r="O57" s="170"/>
      <c r="P57" s="132"/>
    </row>
    <row r="58" spans="1:16" ht="12.75" hidden="1" customHeight="1" x14ac:dyDescent="0.2">
      <c r="B58" s="33"/>
      <c r="C58" s="8"/>
      <c r="D58" s="8"/>
      <c r="E58" s="153"/>
      <c r="F58" s="34"/>
      <c r="G58" s="47"/>
      <c r="H58" s="48"/>
      <c r="I58" s="48"/>
      <c r="J58" s="163"/>
      <c r="K58" s="50"/>
      <c r="L58" s="129"/>
      <c r="M58" s="130"/>
      <c r="N58" s="130"/>
      <c r="O58" s="170"/>
      <c r="P58" s="132"/>
    </row>
    <row r="59" spans="1:16" ht="12.75" hidden="1" customHeight="1" x14ac:dyDescent="0.2"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tr">
        <f>$A$36</f>
        <v>Total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716499.98700000008</v>
      </c>
      <c r="F76" s="67">
        <f t="shared" ref="F76:J76" si="3">SUM(F$52:F$75)</f>
        <v>0.99999999999999978</v>
      </c>
      <c r="G76" s="51">
        <f t="shared" si="3"/>
        <v>1847</v>
      </c>
      <c r="H76" s="68">
        <f t="shared" si="3"/>
        <v>3574632</v>
      </c>
      <c r="I76" s="68">
        <f t="shared" si="3"/>
        <v>783627</v>
      </c>
      <c r="J76" s="164">
        <f t="shared" si="3"/>
        <v>625153.15800000005</v>
      </c>
      <c r="K76" s="69">
        <f t="shared" ref="K76:O76" si="4">SUM(K$52:K$75)</f>
        <v>0.99999999999999978</v>
      </c>
      <c r="L76" s="133">
        <f t="shared" si="4"/>
        <v>1796</v>
      </c>
      <c r="M76" s="134">
        <f t="shared" si="4"/>
        <v>3315149</v>
      </c>
      <c r="N76" s="134">
        <f t="shared" si="4"/>
        <v>755701</v>
      </c>
      <c r="O76" s="171">
        <f t="shared" si="4"/>
        <v>574134.5639279997</v>
      </c>
      <c r="P76" s="136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institutions de prévoyance avec garantie étatique</v>
      </c>
      <c r="M91" s="75"/>
      <c r="N91" s="75"/>
    </row>
    <row r="92" spans="1:16" x14ac:dyDescent="0.2">
      <c r="A92" s="115" t="str">
        <f>$A$12</f>
        <v>1 – faible</v>
      </c>
      <c r="B92" s="36">
        <v>3</v>
      </c>
      <c r="C92" s="10">
        <v>18</v>
      </c>
      <c r="D92" s="10">
        <v>101</v>
      </c>
      <c r="E92" s="155">
        <v>110.839</v>
      </c>
      <c r="F92" s="37">
        <f>E92/E$116</f>
        <v>1.0496665914796572E-3</v>
      </c>
      <c r="G92" s="53">
        <v>0</v>
      </c>
      <c r="H92" s="54">
        <v>0</v>
      </c>
      <c r="I92" s="54">
        <v>0</v>
      </c>
      <c r="J92" s="165">
        <v>0</v>
      </c>
      <c r="K92" s="56">
        <f>J92/J$116</f>
        <v>0</v>
      </c>
      <c r="L92" s="137">
        <v>0</v>
      </c>
      <c r="M92" s="138">
        <v>0</v>
      </c>
      <c r="N92" s="138">
        <v>0</v>
      </c>
      <c r="O92" s="172">
        <v>0</v>
      </c>
      <c r="P92" s="140">
        <f>O92/O$116</f>
        <v>0</v>
      </c>
    </row>
    <row r="93" spans="1:16" x14ac:dyDescent="0.2">
      <c r="A93" s="115" t="str">
        <f>$A$13</f>
        <v>2 – plutôt faible</v>
      </c>
      <c r="B93" s="36">
        <v>10</v>
      </c>
      <c r="C93" s="10">
        <v>36813</v>
      </c>
      <c r="D93" s="10">
        <v>14397</v>
      </c>
      <c r="E93" s="155">
        <v>9101.5480000000007</v>
      </c>
      <c r="F93" s="37">
        <f>E93/E$116</f>
        <v>8.6193405447076307E-2</v>
      </c>
      <c r="G93" s="53">
        <v>7</v>
      </c>
      <c r="H93" s="54">
        <v>720</v>
      </c>
      <c r="I93" s="54">
        <v>443</v>
      </c>
      <c r="J93" s="165">
        <v>314.69900000000001</v>
      </c>
      <c r="K93" s="56">
        <f>J93/J$116</f>
        <v>2.9960037257952331E-3</v>
      </c>
      <c r="L93" s="137">
        <v>1</v>
      </c>
      <c r="M93" s="138">
        <v>13</v>
      </c>
      <c r="N93" s="138">
        <v>8</v>
      </c>
      <c r="O93" s="172">
        <v>1.248</v>
      </c>
      <c r="P93" s="140">
        <f>O93/O$116</f>
        <v>1.2636733133791509E-5</v>
      </c>
    </row>
    <row r="94" spans="1:16" x14ac:dyDescent="0.2">
      <c r="A94" s="115" t="str">
        <f>$A$14</f>
        <v>3 – moyen</v>
      </c>
      <c r="B94" s="36">
        <v>22</v>
      </c>
      <c r="C94" s="10">
        <v>186440</v>
      </c>
      <c r="D94" s="10">
        <v>85536</v>
      </c>
      <c r="E94" s="155">
        <v>62848.595999999998</v>
      </c>
      <c r="F94" s="37">
        <f>E94/E$116</f>
        <v>0.59518825993199154</v>
      </c>
      <c r="G94" s="53">
        <v>27</v>
      </c>
      <c r="H94" s="54">
        <v>156687</v>
      </c>
      <c r="I94" s="54">
        <v>61814</v>
      </c>
      <c r="J94" s="165">
        <v>42538.716</v>
      </c>
      <c r="K94" s="56">
        <f>J94/J$116</f>
        <v>0.40497793646165159</v>
      </c>
      <c r="L94" s="137">
        <v>19</v>
      </c>
      <c r="M94" s="138">
        <v>114385</v>
      </c>
      <c r="N94" s="138">
        <v>39518.000000000007</v>
      </c>
      <c r="O94" s="172">
        <v>27901.489115000004</v>
      </c>
      <c r="P94" s="140">
        <f>O94/O$116</f>
        <v>0.28251896793400938</v>
      </c>
    </row>
    <row r="95" spans="1:16" x14ac:dyDescent="0.2">
      <c r="A95" s="115" t="str">
        <f>$A$15</f>
        <v>4 – plutôt élevé</v>
      </c>
      <c r="B95" s="36">
        <v>8</v>
      </c>
      <c r="C95" s="10">
        <v>116109</v>
      </c>
      <c r="D95" s="10">
        <v>53878</v>
      </c>
      <c r="E95" s="155">
        <v>33533.499000000003</v>
      </c>
      <c r="F95" s="37">
        <f>E95/E$116</f>
        <v>0.31756866802945261</v>
      </c>
      <c r="G95" s="53">
        <v>19</v>
      </c>
      <c r="H95" s="54">
        <v>126679</v>
      </c>
      <c r="I95" s="54">
        <v>63580</v>
      </c>
      <c r="J95" s="165">
        <v>42826.667999999998</v>
      </c>
      <c r="K95" s="56">
        <f>J95/J$116</f>
        <v>0.40771930286208558</v>
      </c>
      <c r="L95" s="137">
        <v>37</v>
      </c>
      <c r="M95" s="138">
        <v>134905</v>
      </c>
      <c r="N95" s="138">
        <v>55857.999999999993</v>
      </c>
      <c r="O95" s="172">
        <v>33116.582000000002</v>
      </c>
      <c r="P95" s="140">
        <f>O95/O$116</f>
        <v>0.3353248469850349</v>
      </c>
    </row>
    <row r="96" spans="1:16" x14ac:dyDescent="0.2">
      <c r="A96" s="115" t="str">
        <f>$A$16</f>
        <v>5 – élevé</v>
      </c>
      <c r="B96" s="36">
        <v>0</v>
      </c>
      <c r="C96" s="10">
        <v>0</v>
      </c>
      <c r="D96" s="10">
        <v>0</v>
      </c>
      <c r="E96" s="155">
        <v>0</v>
      </c>
      <c r="F96" s="37">
        <f>E96/E$116</f>
        <v>0</v>
      </c>
      <c r="G96" s="53">
        <v>5</v>
      </c>
      <c r="H96" s="54">
        <v>74030</v>
      </c>
      <c r="I96" s="54">
        <v>33868</v>
      </c>
      <c r="J96" s="165">
        <v>19359.506000000001</v>
      </c>
      <c r="K96" s="56">
        <f>J96/J$116</f>
        <v>0.1843067569504675</v>
      </c>
      <c r="L96" s="137">
        <v>9</v>
      </c>
      <c r="M96" s="138">
        <v>136046</v>
      </c>
      <c r="N96" s="138">
        <v>59860</v>
      </c>
      <c r="O96" s="172">
        <v>37740.383000000002</v>
      </c>
      <c r="P96" s="140">
        <f>O96/O$116</f>
        <v>0.38214354834782199</v>
      </c>
    </row>
    <row r="97" spans="2:16" ht="12.75" hidden="1" customHeight="1" x14ac:dyDescent="0.2">
      <c r="B97" s="36"/>
      <c r="C97" s="10"/>
      <c r="D97" s="10"/>
      <c r="E97" s="155"/>
      <c r="F97" s="37"/>
      <c r="G97" s="53"/>
      <c r="H97" s="54"/>
      <c r="I97" s="54"/>
      <c r="J97" s="165"/>
      <c r="K97" s="56"/>
      <c r="L97" s="137"/>
      <c r="M97" s="138"/>
      <c r="N97" s="138"/>
      <c r="O97" s="172"/>
      <c r="P97" s="140"/>
    </row>
    <row r="98" spans="2:16" ht="12.75" hidden="1" customHeight="1" x14ac:dyDescent="0.2">
      <c r="B98" s="36"/>
      <c r="C98" s="10"/>
      <c r="D98" s="10"/>
      <c r="E98" s="155"/>
      <c r="F98" s="37"/>
      <c r="G98" s="53"/>
      <c r="H98" s="54"/>
      <c r="I98" s="54"/>
      <c r="J98" s="165"/>
      <c r="K98" s="56"/>
      <c r="L98" s="137"/>
      <c r="M98" s="138"/>
      <c r="N98" s="138"/>
      <c r="O98" s="172"/>
      <c r="P98" s="140"/>
    </row>
    <row r="99" spans="2:16" ht="12.75" hidden="1" customHeight="1" x14ac:dyDescent="0.2"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2:16" ht="12.75" hidden="1" customHeight="1" x14ac:dyDescent="0.2"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2:16" ht="12.75" hidden="1" customHeight="1" x14ac:dyDescent="0.2"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2:16" ht="12.75" hidden="1" customHeight="1" x14ac:dyDescent="0.2"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2:16" ht="12.75" hidden="1" customHeight="1" x14ac:dyDescent="0.2"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2:16" ht="12.75" hidden="1" customHeight="1" x14ac:dyDescent="0.2"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2:16" ht="12.75" hidden="1" customHeight="1" x14ac:dyDescent="0.2"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2:16" ht="12.75" hidden="1" customHeight="1" x14ac:dyDescent="0.2"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2:16" ht="12.75" hidden="1" customHeight="1" x14ac:dyDescent="0.2"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2:16" ht="12.75" hidden="1" customHeight="1" x14ac:dyDescent="0.2"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2:16" ht="12.75" hidden="1" customHeight="1" x14ac:dyDescent="0.2"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2:16" ht="12.75" hidden="1" customHeight="1" x14ac:dyDescent="0.2"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2:16" ht="12.75" hidden="1" customHeight="1" x14ac:dyDescent="0.2"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2:16" ht="12.75" hidden="1" customHeight="1" x14ac:dyDescent="0.2"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tr">
        <f>$A$36</f>
        <v>Total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105594.48199999999</v>
      </c>
      <c r="F116" s="70">
        <f t="shared" ref="F116:J116" si="5">SUM(F$92:F$115)</f>
        <v>1</v>
      </c>
      <c r="G116" s="57">
        <f t="shared" si="5"/>
        <v>58</v>
      </c>
      <c r="H116" s="71">
        <f t="shared" si="5"/>
        <v>358116</v>
      </c>
      <c r="I116" s="71">
        <f t="shared" si="5"/>
        <v>159705</v>
      </c>
      <c r="J116" s="166">
        <f t="shared" si="5"/>
        <v>105039.58900000001</v>
      </c>
      <c r="K116" s="72">
        <f t="shared" ref="K116:O116" si="6">SUM(K$92:K$115)</f>
        <v>0.99999999999999989</v>
      </c>
      <c r="L116" s="141">
        <f t="shared" si="6"/>
        <v>66</v>
      </c>
      <c r="M116" s="142">
        <f t="shared" si="6"/>
        <v>385349</v>
      </c>
      <c r="N116" s="142">
        <f t="shared" si="6"/>
        <v>155244</v>
      </c>
      <c r="O116" s="173">
        <f t="shared" si="6"/>
        <v>98759.702115000007</v>
      </c>
      <c r="P116" s="144">
        <f>SUM(P$92:P$115)</f>
        <v>1</v>
      </c>
    </row>
    <row r="120" spans="1:16" x14ac:dyDescent="0.2">
      <c r="A120" s="111" t="str">
        <f>Translation!$A$36</f>
        <v>somme du bilan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Translation!$A$103</f>
        <v>Intérêt servi sur l’avoir de vieillesse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10" t="str">
        <f>Translation!$A$27</f>
        <v>retour à la vue d'ensemble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/>
      <c r="B4" s="28" t="str">
        <f>Translation!$A$40</f>
        <v>Nombre d'IP</v>
      </c>
      <c r="C4" s="19" t="str">
        <f>Translation!$A$41</f>
        <v>Nombre d'assurés actifs</v>
      </c>
      <c r="D4" s="19" t="str">
        <f>Translation!$A$42</f>
        <v>Nombre de rentiers</v>
      </c>
      <c r="E4" s="149" t="str">
        <f>Translation!$A$43</f>
        <v>Somme du bilan</v>
      </c>
      <c r="F4" s="29" t="str">
        <f>Translation!$A$46</f>
        <v>Part de la somme du bilan</v>
      </c>
      <c r="G4" s="28" t="str">
        <f>Translation!$A$40</f>
        <v>Nombre d'IP</v>
      </c>
      <c r="H4" s="19" t="str">
        <f>Translation!$A$41</f>
        <v>Nombre d'assurés actifs</v>
      </c>
      <c r="I4" s="19" t="str">
        <f>Translation!$A$42</f>
        <v>Nombre de rentiers</v>
      </c>
      <c r="J4" s="149" t="str">
        <f>Translation!$A$43</f>
        <v>Somme du bilan</v>
      </c>
      <c r="K4" s="29" t="str">
        <f>Translation!$A$46</f>
        <v>Part de la somme du bilan</v>
      </c>
      <c r="L4" s="28" t="str">
        <f>Translation!$A$40</f>
        <v>Nombre d'IP</v>
      </c>
      <c r="M4" s="73" t="str">
        <f>Translation!$A$41</f>
        <v>Nombre d'assurés actifs</v>
      </c>
      <c r="N4" s="73" t="str">
        <f>Translation!$A$42</f>
        <v>Nombre de rentiers</v>
      </c>
      <c r="O4" s="149" t="str">
        <f>Translation!$A$43</f>
        <v>Somme du bilan</v>
      </c>
      <c r="P4" s="29" t="str">
        <f>Translation!$A$46</f>
        <v>Part de la somme du bilan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toutes les institutions de prévoyance</v>
      </c>
      <c r="E11" s="157"/>
      <c r="J11" s="157"/>
      <c r="O11" s="157"/>
    </row>
    <row r="12" spans="1:16" x14ac:dyDescent="0.2">
      <c r="A12" s="115" t="str">
        <f>Translation!$A104</f>
        <v>Non défini</v>
      </c>
      <c r="B12" s="30">
        <v>128</v>
      </c>
      <c r="C12" s="6">
        <v>439298</v>
      </c>
      <c r="D12" s="6">
        <v>174212</v>
      </c>
      <c r="E12" s="151">
        <v>137099.19099999999</v>
      </c>
      <c r="F12" s="31">
        <f t="shared" ref="F12:F18" si="0">E12/E$36</f>
        <v>0.16676817101904134</v>
      </c>
      <c r="G12" s="41">
        <v>169</v>
      </c>
      <c r="H12" s="42">
        <v>512878</v>
      </c>
      <c r="I12" s="42">
        <v>195543</v>
      </c>
      <c r="J12" s="161">
        <v>147775.72200000001</v>
      </c>
      <c r="K12" s="44">
        <f t="shared" ref="K12:K18" si="1">J12/J$36</f>
        <v>0.20237906033323008</v>
      </c>
      <c r="L12" s="76"/>
      <c r="M12" s="123"/>
      <c r="N12" s="123"/>
      <c r="O12" s="168"/>
      <c r="P12" s="125">
        <v>0.21127181879114854</v>
      </c>
    </row>
    <row r="13" spans="1:16" x14ac:dyDescent="0.2">
      <c r="A13" s="115" t="str">
        <f>Translation!$A121</f>
        <v>Moins de 1,00 %</v>
      </c>
      <c r="B13" s="30">
        <v>111</v>
      </c>
      <c r="C13" s="6">
        <v>42422</v>
      </c>
      <c r="D13" s="6">
        <v>13110</v>
      </c>
      <c r="E13" s="151">
        <v>10046.040000000001</v>
      </c>
      <c r="F13" s="31">
        <f t="shared" si="0"/>
        <v>1.2220055454478433E-2</v>
      </c>
      <c r="G13" s="41">
        <v>123</v>
      </c>
      <c r="H13" s="42">
        <v>42431</v>
      </c>
      <c r="I13" s="42">
        <v>15976</v>
      </c>
      <c r="J13" s="161">
        <v>11100.050999999999</v>
      </c>
      <c r="K13" s="44">
        <f t="shared" si="1"/>
        <v>1.5201535547435394E-2</v>
      </c>
      <c r="L13" s="76"/>
      <c r="M13" s="123"/>
      <c r="N13" s="123"/>
      <c r="O13" s="168"/>
      <c r="P13" s="125">
        <v>2.5893955758936642E-2</v>
      </c>
    </row>
    <row r="14" spans="1:16" x14ac:dyDescent="0.2">
      <c r="A14" s="115" t="str">
        <f>Translation!$A122</f>
        <v>De 1,00 à 1,49 %</v>
      </c>
      <c r="B14" s="30">
        <v>36</v>
      </c>
      <c r="C14" s="6">
        <v>127463</v>
      </c>
      <c r="D14" s="6">
        <v>45125</v>
      </c>
      <c r="E14" s="151">
        <v>37284.173000000003</v>
      </c>
      <c r="F14" s="31">
        <f t="shared" si="0"/>
        <v>4.5352662505262521E-2</v>
      </c>
      <c r="G14" s="41">
        <v>63</v>
      </c>
      <c r="H14" s="42">
        <v>168062</v>
      </c>
      <c r="I14" s="42">
        <v>50752</v>
      </c>
      <c r="J14" s="161">
        <v>42102.156000000003</v>
      </c>
      <c r="K14" s="44">
        <f t="shared" si="1"/>
        <v>5.765896220275659E-2</v>
      </c>
      <c r="L14" s="76"/>
      <c r="M14" s="123"/>
      <c r="N14" s="123"/>
      <c r="O14" s="168"/>
      <c r="P14" s="125">
        <v>4.453195220313115E-2</v>
      </c>
    </row>
    <row r="15" spans="1:16" x14ac:dyDescent="0.2">
      <c r="A15" s="115" t="str">
        <f>Translation!$A123</f>
        <v>De 1,50 à 1,99 %</v>
      </c>
      <c r="B15" s="30">
        <v>679</v>
      </c>
      <c r="C15" s="6">
        <v>1849566</v>
      </c>
      <c r="D15" s="6">
        <v>296499</v>
      </c>
      <c r="E15" s="151">
        <v>284915.60599999997</v>
      </c>
      <c r="F15" s="31">
        <f t="shared" si="0"/>
        <v>0.34657282921094551</v>
      </c>
      <c r="G15" s="41">
        <v>841</v>
      </c>
      <c r="H15" s="42">
        <v>2166463</v>
      </c>
      <c r="I15" s="42">
        <v>387267</v>
      </c>
      <c r="J15" s="161">
        <v>252506.954</v>
      </c>
      <c r="K15" s="44">
        <f t="shared" si="1"/>
        <v>0.3458086307176097</v>
      </c>
      <c r="L15" s="76"/>
      <c r="M15" s="123"/>
      <c r="N15" s="123"/>
      <c r="O15" s="168"/>
      <c r="P15" s="125">
        <v>0.44646280211998335</v>
      </c>
    </row>
    <row r="16" spans="1:16" x14ac:dyDescent="0.2">
      <c r="A16" s="115" t="str">
        <f>Translation!$A124</f>
        <v>De 2,00 à 2,49 %</v>
      </c>
      <c r="B16" s="30">
        <v>242</v>
      </c>
      <c r="C16" s="6">
        <v>514085</v>
      </c>
      <c r="D16" s="6">
        <v>81566</v>
      </c>
      <c r="E16" s="151">
        <v>73384.292000000001</v>
      </c>
      <c r="F16" s="31">
        <f t="shared" si="0"/>
        <v>8.9265035549095748E-2</v>
      </c>
      <c r="G16" s="41">
        <v>273</v>
      </c>
      <c r="H16" s="42">
        <v>466609</v>
      </c>
      <c r="I16" s="42">
        <v>111311</v>
      </c>
      <c r="J16" s="161">
        <v>97543.951000000001</v>
      </c>
      <c r="K16" s="44">
        <f t="shared" si="1"/>
        <v>0.13358657888723183</v>
      </c>
      <c r="L16" s="76"/>
      <c r="M16" s="123"/>
      <c r="N16" s="123"/>
      <c r="O16" s="168"/>
      <c r="P16" s="125">
        <v>0.15911721708066709</v>
      </c>
    </row>
    <row r="17" spans="1:16" ht="12.75" customHeight="1" x14ac:dyDescent="0.2">
      <c r="A17" s="111" t="str">
        <f>Translation!$A125</f>
        <v>De 2,50 à 2,99 %</v>
      </c>
      <c r="B17" s="30">
        <v>181</v>
      </c>
      <c r="C17" s="6">
        <v>419006</v>
      </c>
      <c r="D17" s="6">
        <v>93754</v>
      </c>
      <c r="E17" s="151">
        <v>108963.784</v>
      </c>
      <c r="F17" s="31">
        <f t="shared" si="0"/>
        <v>0.13254411519462492</v>
      </c>
      <c r="G17" s="41">
        <v>125</v>
      </c>
      <c r="H17" s="42">
        <v>227113</v>
      </c>
      <c r="I17" s="42">
        <v>103230</v>
      </c>
      <c r="J17" s="161">
        <v>93772.22</v>
      </c>
      <c r="K17" s="44">
        <f t="shared" si="1"/>
        <v>0.12842118794696822</v>
      </c>
      <c r="L17" s="76"/>
      <c r="M17" s="123"/>
      <c r="N17" s="123"/>
      <c r="O17" s="168"/>
      <c r="P17" s="125">
        <v>3.2684413788546307E-2</v>
      </c>
    </row>
    <row r="18" spans="1:16" ht="12.75" customHeight="1" x14ac:dyDescent="0.2">
      <c r="A18" s="111" t="str">
        <f>Translation!$A126</f>
        <v>3,00 % et plus</v>
      </c>
      <c r="B18" s="30">
        <v>468</v>
      </c>
      <c r="C18" s="6">
        <v>612197</v>
      </c>
      <c r="D18" s="6">
        <v>164552</v>
      </c>
      <c r="E18" s="151">
        <v>170401.383</v>
      </c>
      <c r="F18" s="31">
        <f t="shared" si="0"/>
        <v>0.20727713106655141</v>
      </c>
      <c r="G18" s="41">
        <v>311</v>
      </c>
      <c r="H18" s="42">
        <v>349192</v>
      </c>
      <c r="I18" s="42">
        <v>79253</v>
      </c>
      <c r="J18" s="161">
        <v>85391.692999999999</v>
      </c>
      <c r="K18" s="44">
        <f t="shared" si="1"/>
        <v>0.11694404436476825</v>
      </c>
      <c r="L18" s="76"/>
      <c r="M18" s="123"/>
      <c r="N18" s="123"/>
      <c r="O18" s="168"/>
      <c r="P18" s="125">
        <v>8.0037840257586909E-2</v>
      </c>
    </row>
    <row r="19" spans="1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1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1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1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1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1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1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1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1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1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1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1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1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1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2">SUM(C$12:C$35)</f>
        <v>4004037</v>
      </c>
      <c r="D36" s="7">
        <f t="shared" si="2"/>
        <v>868818</v>
      </c>
      <c r="E36" s="152">
        <f t="shared" si="2"/>
        <v>822094.46900000004</v>
      </c>
      <c r="F36" s="64">
        <f>SUM(F$12:F$35)</f>
        <v>0.99999999999999989</v>
      </c>
      <c r="G36" s="45">
        <f t="shared" ref="G36:J36" si="3">SUM(G$12:G$35)</f>
        <v>1905</v>
      </c>
      <c r="H36" s="65">
        <f t="shared" si="3"/>
        <v>3932748</v>
      </c>
      <c r="I36" s="65">
        <f t="shared" si="3"/>
        <v>943332</v>
      </c>
      <c r="J36" s="162">
        <f t="shared" si="3"/>
        <v>730192.74699999997</v>
      </c>
      <c r="K36" s="66">
        <f t="shared" ref="K36" si="4">SUM(K$12:K$35)</f>
        <v>1</v>
      </c>
      <c r="L36" s="77"/>
      <c r="M36" s="126"/>
      <c r="N36" s="126"/>
      <c r="O36" s="169"/>
      <c r="P36" s="128">
        <f>SUM(P$12:P$35)</f>
        <v>0.99999999999999989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institutions de prévoyance sans garantie étatique</v>
      </c>
      <c r="E51" s="157"/>
      <c r="J51" s="157"/>
      <c r="O51" s="157"/>
    </row>
    <row r="52" spans="1:16" x14ac:dyDescent="0.2">
      <c r="A52" s="115" t="str">
        <f>$A$12</f>
        <v>Non défini</v>
      </c>
      <c r="B52" s="33">
        <v>107</v>
      </c>
      <c r="C52" s="8">
        <v>190727</v>
      </c>
      <c r="D52" s="8">
        <v>58298</v>
      </c>
      <c r="E52" s="153">
        <v>58848.118999999999</v>
      </c>
      <c r="F52" s="34">
        <f t="shared" ref="F52:F58" si="5">E52/E$76</f>
        <v>8.2132756549512687E-2</v>
      </c>
      <c r="G52" s="47">
        <v>137</v>
      </c>
      <c r="H52" s="48">
        <v>237508</v>
      </c>
      <c r="I52" s="48">
        <v>71597</v>
      </c>
      <c r="J52" s="163">
        <v>67361.478000000003</v>
      </c>
      <c r="K52" s="50">
        <f t="shared" ref="K52:K58" si="6">J52/J$76</f>
        <v>0.1077519598805258</v>
      </c>
      <c r="L52" s="129"/>
      <c r="M52" s="130"/>
      <c r="N52" s="130"/>
      <c r="O52" s="170"/>
      <c r="P52" s="132">
        <v>0.12347688048292363</v>
      </c>
    </row>
    <row r="53" spans="1:16" x14ac:dyDescent="0.2">
      <c r="A53" s="115" t="str">
        <f>$A$13</f>
        <v>Moins de 1,00 %</v>
      </c>
      <c r="B53" s="33">
        <v>111</v>
      </c>
      <c r="C53" s="8">
        <v>42422</v>
      </c>
      <c r="D53" s="8">
        <v>13110</v>
      </c>
      <c r="E53" s="153">
        <v>10046.040000000001</v>
      </c>
      <c r="F53" s="34">
        <f t="shared" si="5"/>
        <v>1.4020991182516242E-2</v>
      </c>
      <c r="G53" s="47">
        <v>122</v>
      </c>
      <c r="H53" s="48">
        <v>39022</v>
      </c>
      <c r="I53" s="48">
        <v>13957</v>
      </c>
      <c r="J53" s="163">
        <v>9821.7819999999992</v>
      </c>
      <c r="K53" s="50">
        <f t="shared" si="6"/>
        <v>1.571100117517122E-2</v>
      </c>
      <c r="L53" s="129"/>
      <c r="M53" s="130"/>
      <c r="N53" s="130"/>
      <c r="O53" s="170"/>
      <c r="P53" s="132">
        <v>2.8041934056566537E-2</v>
      </c>
    </row>
    <row r="54" spans="1:16" x14ac:dyDescent="0.2">
      <c r="A54" s="115" t="str">
        <f>$A$14</f>
        <v>De 1,00 à 1,49 %</v>
      </c>
      <c r="B54" s="33">
        <v>34</v>
      </c>
      <c r="C54" s="8">
        <v>120385</v>
      </c>
      <c r="D54" s="8">
        <v>42262</v>
      </c>
      <c r="E54" s="153">
        <v>35991.027999999998</v>
      </c>
      <c r="F54" s="34">
        <f t="shared" si="5"/>
        <v>5.0231721776709537E-2</v>
      </c>
      <c r="G54" s="47">
        <v>61</v>
      </c>
      <c r="H54" s="48">
        <v>165023</v>
      </c>
      <c r="I54" s="48">
        <v>49148</v>
      </c>
      <c r="J54" s="163">
        <v>41389.440000000002</v>
      </c>
      <c r="K54" s="50">
        <f t="shared" si="6"/>
        <v>6.620687981872117E-2</v>
      </c>
      <c r="L54" s="129"/>
      <c r="M54" s="130"/>
      <c r="N54" s="130"/>
      <c r="O54" s="170"/>
      <c r="P54" s="132">
        <v>4.9688935183108476E-2</v>
      </c>
    </row>
    <row r="55" spans="1:16" x14ac:dyDescent="0.2">
      <c r="A55" s="115" t="str">
        <f>$A$15</f>
        <v>De 1,50 à 1,99 %</v>
      </c>
      <c r="B55" s="33">
        <v>667</v>
      </c>
      <c r="C55" s="8">
        <v>1819239</v>
      </c>
      <c r="D55" s="8">
        <v>282117</v>
      </c>
      <c r="E55" s="153">
        <v>275222.61700000003</v>
      </c>
      <c r="F55" s="34">
        <f t="shared" si="5"/>
        <v>0.38412089601335897</v>
      </c>
      <c r="G55" s="47">
        <v>825</v>
      </c>
      <c r="H55" s="48">
        <v>2117546</v>
      </c>
      <c r="I55" s="48">
        <v>366973</v>
      </c>
      <c r="J55" s="163">
        <v>238689.15099999998</v>
      </c>
      <c r="K55" s="50">
        <f t="shared" si="6"/>
        <v>0.38180907821631771</v>
      </c>
      <c r="L55" s="129"/>
      <c r="M55" s="130"/>
      <c r="N55" s="130"/>
      <c r="O55" s="170"/>
      <c r="P55" s="132">
        <v>0.48810217457407412</v>
      </c>
    </row>
    <row r="56" spans="1:16" x14ac:dyDescent="0.2">
      <c r="A56" s="115" t="str">
        <f>$A$16</f>
        <v>De 2,00 à 2,49 %</v>
      </c>
      <c r="B56" s="33">
        <v>241</v>
      </c>
      <c r="C56" s="8">
        <v>513725</v>
      </c>
      <c r="D56" s="8">
        <v>81366</v>
      </c>
      <c r="E56" s="153">
        <v>73295.292000000001</v>
      </c>
      <c r="F56" s="34">
        <f t="shared" si="5"/>
        <v>0.10229629215610858</v>
      </c>
      <c r="G56" s="47">
        <v>270</v>
      </c>
      <c r="H56" s="48">
        <v>456091</v>
      </c>
      <c r="I56" s="48">
        <v>108340</v>
      </c>
      <c r="J56" s="163">
        <v>94251.323000000004</v>
      </c>
      <c r="K56" s="50">
        <f t="shared" si="6"/>
        <v>0.15076517137261269</v>
      </c>
      <c r="L56" s="129"/>
      <c r="M56" s="130"/>
      <c r="N56" s="130"/>
      <c r="O56" s="170"/>
      <c r="P56" s="132">
        <v>0.18487751593075488</v>
      </c>
    </row>
    <row r="57" spans="1:16" ht="12.75" customHeight="1" x14ac:dyDescent="0.2">
      <c r="A57" s="115" t="str">
        <f>$A$17</f>
        <v>De 2,50 à 2,99 %</v>
      </c>
      <c r="B57" s="33">
        <v>180</v>
      </c>
      <c r="C57" s="8">
        <v>394960</v>
      </c>
      <c r="D57" s="8">
        <v>86220</v>
      </c>
      <c r="E57" s="153">
        <v>102397.36500000001</v>
      </c>
      <c r="F57" s="34">
        <f t="shared" si="5"/>
        <v>0.14291328242550269</v>
      </c>
      <c r="G57" s="47">
        <v>125</v>
      </c>
      <c r="H57" s="48">
        <v>227113</v>
      </c>
      <c r="I57" s="48">
        <v>103230</v>
      </c>
      <c r="J57" s="163">
        <v>93772.22</v>
      </c>
      <c r="K57" s="50">
        <f t="shared" si="6"/>
        <v>0.1499987943754417</v>
      </c>
      <c r="L57" s="129"/>
      <c r="M57" s="130"/>
      <c r="N57" s="130"/>
      <c r="O57" s="170"/>
      <c r="P57" s="132">
        <v>3.81178354685403E-2</v>
      </c>
    </row>
    <row r="58" spans="1:16" ht="12.75" customHeight="1" x14ac:dyDescent="0.2">
      <c r="A58" s="115" t="str">
        <f>$A$18</f>
        <v>3,00 % et plus</v>
      </c>
      <c r="B58" s="33">
        <v>462</v>
      </c>
      <c r="C58" s="8">
        <v>583199</v>
      </c>
      <c r="D58" s="8">
        <v>151533</v>
      </c>
      <c r="E58" s="153">
        <v>160699.52599999998</v>
      </c>
      <c r="F58" s="34">
        <f t="shared" si="5"/>
        <v>0.22428405989629138</v>
      </c>
      <c r="G58" s="47">
        <v>307</v>
      </c>
      <c r="H58" s="48">
        <v>332329</v>
      </c>
      <c r="I58" s="48">
        <v>70382</v>
      </c>
      <c r="J58" s="163">
        <v>79867.76400000001</v>
      </c>
      <c r="K58" s="50">
        <f t="shared" si="6"/>
        <v>0.12775711516120986</v>
      </c>
      <c r="L58" s="129"/>
      <c r="M58" s="130"/>
      <c r="N58" s="130"/>
      <c r="O58" s="170"/>
      <c r="P58" s="132">
        <v>8.7694724304031954E-2</v>
      </c>
    </row>
    <row r="59" spans="1:16" ht="12.75" hidden="1" customHeight="1" x14ac:dyDescent="0.2">
      <c r="A59" s="115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5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5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5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5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5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5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716499.98699999996</v>
      </c>
      <c r="F76" s="67">
        <f t="shared" ref="F76:J76" si="7">SUM(F$52:F$75)</f>
        <v>1</v>
      </c>
      <c r="G76" s="51">
        <f t="shared" si="7"/>
        <v>1847</v>
      </c>
      <c r="H76" s="68">
        <f t="shared" si="7"/>
        <v>3574632</v>
      </c>
      <c r="I76" s="68">
        <f t="shared" si="7"/>
        <v>783627</v>
      </c>
      <c r="J76" s="164">
        <f t="shared" si="7"/>
        <v>625153.15799999994</v>
      </c>
      <c r="K76" s="69">
        <f t="shared" ref="K76" si="8">SUM(K$52:K$75)</f>
        <v>1.0000000000000002</v>
      </c>
      <c r="L76" s="133"/>
      <c r="M76" s="134"/>
      <c r="N76" s="134"/>
      <c r="O76" s="171"/>
      <c r="P76" s="136">
        <f>SUM(P$52:P$75)</f>
        <v>0.99999999999999978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institutions de prévoyance avec garantie étatique</v>
      </c>
      <c r="E91" s="157"/>
      <c r="J91" s="157"/>
      <c r="O91" s="157"/>
    </row>
    <row r="92" spans="1:16" x14ac:dyDescent="0.2">
      <c r="A92" s="115" t="str">
        <f>$A$12</f>
        <v>Non défini</v>
      </c>
      <c r="B92" s="36">
        <v>21</v>
      </c>
      <c r="C92" s="10">
        <v>248571</v>
      </c>
      <c r="D92" s="10">
        <v>115914</v>
      </c>
      <c r="E92" s="155">
        <v>78251.072</v>
      </c>
      <c r="F92" s="37">
        <f t="shared" ref="F92:F98" si="9">E92/E$116</f>
        <v>0.74105266220255717</v>
      </c>
      <c r="G92" s="53">
        <v>32</v>
      </c>
      <c r="H92" s="54">
        <v>275370</v>
      </c>
      <c r="I92" s="54">
        <v>123946</v>
      </c>
      <c r="J92" s="165">
        <v>80414.244000000006</v>
      </c>
      <c r="K92" s="56">
        <f t="shared" ref="K92:K98" si="10">J92/J$116</f>
        <v>0.7655612970839023</v>
      </c>
      <c r="L92" s="137"/>
      <c r="M92" s="138"/>
      <c r="N92" s="138"/>
      <c r="O92" s="172"/>
      <c r="P92" s="140">
        <v>0.7393968680185854</v>
      </c>
    </row>
    <row r="93" spans="1:16" x14ac:dyDescent="0.2">
      <c r="A93" s="115" t="str">
        <f>$A$13</f>
        <v>Moins de 1,00 %</v>
      </c>
      <c r="B93" s="36">
        <v>0</v>
      </c>
      <c r="C93" s="10">
        <v>0</v>
      </c>
      <c r="D93" s="10">
        <v>0</v>
      </c>
      <c r="E93" s="155">
        <v>0</v>
      </c>
      <c r="F93" s="37">
        <f t="shared" si="9"/>
        <v>0</v>
      </c>
      <c r="G93" s="53">
        <v>1</v>
      </c>
      <c r="H93" s="54">
        <v>3409</v>
      </c>
      <c r="I93" s="54">
        <v>2019</v>
      </c>
      <c r="J93" s="165">
        <v>1278.269</v>
      </c>
      <c r="K93" s="56">
        <f t="shared" si="10"/>
        <v>1.2169402147984412E-2</v>
      </c>
      <c r="L93" s="137"/>
      <c r="M93" s="138"/>
      <c r="N93" s="138"/>
      <c r="O93" s="172"/>
      <c r="P93" s="140">
        <v>1.2972924478083816E-2</v>
      </c>
    </row>
    <row r="94" spans="1:16" x14ac:dyDescent="0.2">
      <c r="A94" s="115" t="str">
        <f>$A$14</f>
        <v>De 1,00 à 1,49 %</v>
      </c>
      <c r="B94" s="36">
        <v>2</v>
      </c>
      <c r="C94" s="10">
        <v>7078</v>
      </c>
      <c r="D94" s="10">
        <v>2863</v>
      </c>
      <c r="E94" s="155">
        <v>1293.145</v>
      </c>
      <c r="F94" s="37">
        <f t="shared" si="9"/>
        <v>1.224633120507187E-2</v>
      </c>
      <c r="G94" s="53">
        <v>2</v>
      </c>
      <c r="H94" s="54">
        <v>3039</v>
      </c>
      <c r="I94" s="54">
        <v>1604</v>
      </c>
      <c r="J94" s="165">
        <v>712.71600000000001</v>
      </c>
      <c r="K94" s="56">
        <f t="shared" si="10"/>
        <v>6.785213144731554E-3</v>
      </c>
      <c r="L94" s="137"/>
      <c r="M94" s="138"/>
      <c r="N94" s="138"/>
      <c r="O94" s="172"/>
      <c r="P94" s="140">
        <v>1.3510438404666116E-2</v>
      </c>
    </row>
    <row r="95" spans="1:16" x14ac:dyDescent="0.2">
      <c r="A95" s="115" t="str">
        <f>$A$15</f>
        <v>De 1,50 à 1,99 %</v>
      </c>
      <c r="B95" s="36">
        <v>12</v>
      </c>
      <c r="C95" s="10">
        <v>30327</v>
      </c>
      <c r="D95" s="10">
        <v>14382</v>
      </c>
      <c r="E95" s="155">
        <v>9692.9889999999996</v>
      </c>
      <c r="F95" s="37">
        <f t="shared" si="9"/>
        <v>9.1794465169117448E-2</v>
      </c>
      <c r="G95" s="53">
        <v>16</v>
      </c>
      <c r="H95" s="54">
        <v>48917</v>
      </c>
      <c r="I95" s="54">
        <v>20294</v>
      </c>
      <c r="J95" s="165">
        <v>13817.803</v>
      </c>
      <c r="K95" s="56">
        <f t="shared" si="10"/>
        <v>0.13154852500422481</v>
      </c>
      <c r="L95" s="137"/>
      <c r="M95" s="138"/>
      <c r="N95" s="138"/>
      <c r="O95" s="172"/>
      <c r="P95" s="140">
        <v>0.1959837192601411</v>
      </c>
    </row>
    <row r="96" spans="1:16" x14ac:dyDescent="0.2">
      <c r="A96" s="115" t="str">
        <f>$A$16</f>
        <v>De 2,00 à 2,49 %</v>
      </c>
      <c r="B96" s="36">
        <v>1</v>
      </c>
      <c r="C96" s="10">
        <v>360</v>
      </c>
      <c r="D96" s="10">
        <v>200</v>
      </c>
      <c r="E96" s="155">
        <v>89</v>
      </c>
      <c r="F96" s="37">
        <f t="shared" si="9"/>
        <v>8.428470722551581E-4</v>
      </c>
      <c r="G96" s="53">
        <v>3</v>
      </c>
      <c r="H96" s="54">
        <v>10518</v>
      </c>
      <c r="I96" s="54">
        <v>2971</v>
      </c>
      <c r="J96" s="165">
        <v>3292.6280000000002</v>
      </c>
      <c r="K96" s="56">
        <f t="shared" si="10"/>
        <v>3.13465430638728E-2</v>
      </c>
      <c r="L96" s="137"/>
      <c r="M96" s="138"/>
      <c r="N96" s="138"/>
      <c r="O96" s="172"/>
      <c r="P96" s="140">
        <v>4.1577244218820473E-3</v>
      </c>
    </row>
    <row r="97" spans="1:16" ht="12.75" customHeight="1" x14ac:dyDescent="0.2">
      <c r="A97" s="115" t="str">
        <f>$A$17</f>
        <v>De 2,50 à 2,99 %</v>
      </c>
      <c r="B97" s="36">
        <v>1</v>
      </c>
      <c r="C97" s="10">
        <v>24046</v>
      </c>
      <c r="D97" s="10">
        <v>7534</v>
      </c>
      <c r="E97" s="155">
        <v>6566.4189999999999</v>
      </c>
      <c r="F97" s="37">
        <f t="shared" si="9"/>
        <v>6.2185247520793747E-2</v>
      </c>
      <c r="G97" s="53">
        <v>0</v>
      </c>
      <c r="H97" s="54">
        <v>0</v>
      </c>
      <c r="I97" s="54">
        <v>0</v>
      </c>
      <c r="J97" s="165">
        <v>0</v>
      </c>
      <c r="K97" s="56">
        <f t="shared" si="10"/>
        <v>0</v>
      </c>
      <c r="L97" s="137"/>
      <c r="M97" s="138"/>
      <c r="N97" s="138"/>
      <c r="O97" s="172"/>
      <c r="P97" s="140">
        <v>0</v>
      </c>
    </row>
    <row r="98" spans="1:16" ht="12.75" customHeight="1" x14ac:dyDescent="0.2">
      <c r="A98" s="115" t="str">
        <f>$A$18</f>
        <v>3,00 % et plus</v>
      </c>
      <c r="B98" s="36">
        <v>6</v>
      </c>
      <c r="C98" s="10">
        <v>28998</v>
      </c>
      <c r="D98" s="10">
        <v>13019</v>
      </c>
      <c r="E98" s="155">
        <v>9701.857</v>
      </c>
      <c r="F98" s="37">
        <f t="shared" si="9"/>
        <v>9.187844683020463E-2</v>
      </c>
      <c r="G98" s="53">
        <v>4</v>
      </c>
      <c r="H98" s="54">
        <v>16863</v>
      </c>
      <c r="I98" s="54">
        <v>8871</v>
      </c>
      <c r="J98" s="165">
        <v>5523.9290000000001</v>
      </c>
      <c r="K98" s="56">
        <f t="shared" si="10"/>
        <v>5.2589019555284056E-2</v>
      </c>
      <c r="L98" s="137"/>
      <c r="M98" s="138"/>
      <c r="N98" s="138"/>
      <c r="O98" s="172"/>
      <c r="P98" s="140">
        <v>3.3978325416641614E-2</v>
      </c>
    </row>
    <row r="99" spans="1:16" ht="12.75" hidden="1" customHeight="1" x14ac:dyDescent="0.2">
      <c r="A99" s="115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:J116" si="11">SUM(F$92:F$115)</f>
        <v>1</v>
      </c>
      <c r="G116" s="57">
        <f t="shared" si="11"/>
        <v>58</v>
      </c>
      <c r="H116" s="71">
        <f t="shared" si="11"/>
        <v>358116</v>
      </c>
      <c r="I116" s="71">
        <f t="shared" si="11"/>
        <v>159705</v>
      </c>
      <c r="J116" s="166">
        <f t="shared" si="11"/>
        <v>105039.58900000001</v>
      </c>
      <c r="K116" s="72">
        <f t="shared" ref="K116" si="12">SUM(K$92:K$115)</f>
        <v>1</v>
      </c>
      <c r="L116" s="141"/>
      <c r="M116" s="142"/>
      <c r="N116" s="142"/>
      <c r="O116" s="173"/>
      <c r="P116" s="144">
        <f>SUM(P$92:P$115)</f>
        <v>1.0000000000000002</v>
      </c>
    </row>
    <row r="120" spans="1:16" x14ac:dyDescent="0.2">
      <c r="A120" s="111" t="str">
        <f>Translation!$A$36</f>
        <v>somme du bilan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Translation!$A$127</f>
        <v xml:space="preserve">Taux d'intérêt technique 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retour à la vue d'ensemble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/>
      <c r="B4" s="28" t="str">
        <f>Translation!$A$40</f>
        <v>Nombre d'IP</v>
      </c>
      <c r="C4" s="19" t="str">
        <f>Translation!$A$41</f>
        <v>Nombre d'assurés actifs</v>
      </c>
      <c r="D4" s="19" t="str">
        <f>Translation!$A$42</f>
        <v>Nombre de rentiers</v>
      </c>
      <c r="E4" s="149" t="str">
        <f>Translation!$A$43</f>
        <v>Somme du bilan</v>
      </c>
      <c r="F4" s="29" t="str">
        <f>Translation!$A$46</f>
        <v>Part de la somme du bilan</v>
      </c>
      <c r="G4" s="28" t="str">
        <f>Translation!$A$40</f>
        <v>Nombre d'IP</v>
      </c>
      <c r="H4" s="19" t="str">
        <f>Translation!$A$41</f>
        <v>Nombre d'assurés actifs</v>
      </c>
      <c r="I4" s="19" t="str">
        <f>Translation!$A$42</f>
        <v>Nombre de rentiers</v>
      </c>
      <c r="J4" s="149" t="str">
        <f>Translation!$A$43</f>
        <v>Somme du bilan</v>
      </c>
      <c r="K4" s="29" t="str">
        <f>Translation!$A$46</f>
        <v>Part de la somme du bilan</v>
      </c>
      <c r="L4" s="28" t="str">
        <f>Translation!$A$40</f>
        <v>Nombre d'IP</v>
      </c>
      <c r="M4" s="73" t="str">
        <f>Translation!$A$41</f>
        <v>Nombre d'assurés actifs</v>
      </c>
      <c r="N4" s="73" t="str">
        <f>Translation!$A$42</f>
        <v>Nombre de rentiers</v>
      </c>
      <c r="O4" s="149" t="str">
        <f>Translation!$A$43</f>
        <v>Somme du bilan</v>
      </c>
      <c r="P4" s="29" t="str">
        <f>Translation!$A$46</f>
        <v>Part de la somme du bilan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toutes les institutions de prévoyance</v>
      </c>
    </row>
    <row r="12" spans="1:16" x14ac:dyDescent="0.2">
      <c r="A12" s="115" t="str">
        <f>Translation!$A128</f>
        <v>Pas de rentes payées directement par l'IP</v>
      </c>
      <c r="B12" s="30">
        <v>356</v>
      </c>
      <c r="C12" s="6">
        <v>1304459</v>
      </c>
      <c r="D12" s="6">
        <v>14443</v>
      </c>
      <c r="E12" s="151">
        <v>87398.26</v>
      </c>
      <c r="F12" s="31">
        <f t="shared" ref="F12:F18" si="0">E12/E$36</f>
        <v>0.10631169931882853</v>
      </c>
      <c r="G12" s="41">
        <v>335</v>
      </c>
      <c r="H12" s="42">
        <v>1342980</v>
      </c>
      <c r="I12" s="42">
        <v>111214</v>
      </c>
      <c r="J12" s="161">
        <v>51975.563000000002</v>
      </c>
      <c r="K12" s="44">
        <f t="shared" ref="K12:K18" si="1">J12/J$36</f>
        <v>7.1180607056892609E-2</v>
      </c>
      <c r="L12" s="76">
        <v>340</v>
      </c>
      <c r="M12" s="123">
        <v>1312236</v>
      </c>
      <c r="N12" s="123">
        <v>123778.99999999999</v>
      </c>
      <c r="O12" s="168">
        <v>82012.31097999998</v>
      </c>
      <c r="P12" s="125">
        <f t="shared" ref="P12:P18" si="2">O12/O$36</f>
        <v>0.1218799373373753</v>
      </c>
    </row>
    <row r="13" spans="1:16" x14ac:dyDescent="0.2">
      <c r="A13" s="115" t="str">
        <f>Translation!$A129</f>
        <v>Moins de 2,50 %</v>
      </c>
      <c r="B13" s="30">
        <v>153</v>
      </c>
      <c r="C13" s="6">
        <v>109475</v>
      </c>
      <c r="D13" s="6">
        <v>60529</v>
      </c>
      <c r="E13" s="151">
        <v>60221.633000000002</v>
      </c>
      <c r="F13" s="31">
        <f t="shared" si="0"/>
        <v>7.3253908487249539E-2</v>
      </c>
      <c r="G13" s="41">
        <v>84</v>
      </c>
      <c r="H13" s="42">
        <v>40414</v>
      </c>
      <c r="I13" s="42">
        <v>21406</v>
      </c>
      <c r="J13" s="161">
        <v>17327.162</v>
      </c>
      <c r="K13" s="44">
        <f t="shared" si="1"/>
        <v>2.3729572871257241E-2</v>
      </c>
      <c r="L13" s="76">
        <v>65</v>
      </c>
      <c r="M13" s="123">
        <v>24829</v>
      </c>
      <c r="N13" s="123">
        <v>14785</v>
      </c>
      <c r="O13" s="168">
        <v>9833.6828230000028</v>
      </c>
      <c r="P13" s="125">
        <f t="shared" si="2"/>
        <v>1.4614008945012472E-2</v>
      </c>
    </row>
    <row r="14" spans="1:16" x14ac:dyDescent="0.2">
      <c r="A14" s="115" t="str">
        <f>Translation!$A130</f>
        <v>De 2,50 à 2,99 %</v>
      </c>
      <c r="B14" s="30">
        <v>375</v>
      </c>
      <c r="C14" s="6">
        <v>641845</v>
      </c>
      <c r="D14" s="6">
        <v>200146</v>
      </c>
      <c r="E14" s="151">
        <v>180054.87400000001</v>
      </c>
      <c r="F14" s="31">
        <f t="shared" si="0"/>
        <v>0.21901968786995943</v>
      </c>
      <c r="G14" s="41">
        <v>303</v>
      </c>
      <c r="H14" s="42">
        <v>481886</v>
      </c>
      <c r="I14" s="42">
        <v>147374</v>
      </c>
      <c r="J14" s="161">
        <v>126649.633</v>
      </c>
      <c r="K14" s="44">
        <f t="shared" si="1"/>
        <v>0.17344685156123579</v>
      </c>
      <c r="L14" s="76">
        <v>173</v>
      </c>
      <c r="M14" s="123">
        <v>285455</v>
      </c>
      <c r="N14" s="123">
        <v>89809</v>
      </c>
      <c r="O14" s="168">
        <v>67851.872178999998</v>
      </c>
      <c r="P14" s="125">
        <f t="shared" si="2"/>
        <v>0.10083586025781956</v>
      </c>
    </row>
    <row r="15" spans="1:16" x14ac:dyDescent="0.2">
      <c r="A15" s="115" t="str">
        <f>Translation!$A131</f>
        <v>De 3,00 à 3,49 %</v>
      </c>
      <c r="B15" s="30">
        <v>733</v>
      </c>
      <c r="C15" s="6">
        <v>1325050</v>
      </c>
      <c r="D15" s="6">
        <v>400397</v>
      </c>
      <c r="E15" s="151">
        <v>338935.30499999999</v>
      </c>
      <c r="F15" s="31">
        <f t="shared" si="0"/>
        <v>0.41228267283233605</v>
      </c>
      <c r="G15" s="41">
        <v>716</v>
      </c>
      <c r="H15" s="42">
        <v>1290590</v>
      </c>
      <c r="I15" s="42">
        <v>418577</v>
      </c>
      <c r="J15" s="161">
        <v>345173.52799999999</v>
      </c>
      <c r="K15" s="44">
        <f t="shared" si="1"/>
        <v>0.47271563490345103</v>
      </c>
      <c r="L15" s="76">
        <v>557</v>
      </c>
      <c r="M15" s="123">
        <v>926027</v>
      </c>
      <c r="N15" s="123">
        <v>276694</v>
      </c>
      <c r="O15" s="168">
        <v>239030.74134799995</v>
      </c>
      <c r="P15" s="125">
        <f t="shared" si="2"/>
        <v>0.35522778750016154</v>
      </c>
    </row>
    <row r="16" spans="1:16" x14ac:dyDescent="0.2">
      <c r="A16" s="115" t="str">
        <f>Translation!$A132</f>
        <v>De 3,50 à 3,99 %</v>
      </c>
      <c r="B16" s="30">
        <v>199</v>
      </c>
      <c r="C16" s="6">
        <v>554453</v>
      </c>
      <c r="D16" s="6">
        <v>161377</v>
      </c>
      <c r="E16" s="151">
        <v>131900.003</v>
      </c>
      <c r="F16" s="31">
        <f t="shared" si="0"/>
        <v>0.16044385161773908</v>
      </c>
      <c r="G16" s="41">
        <v>405</v>
      </c>
      <c r="H16" s="42">
        <v>648602</v>
      </c>
      <c r="I16" s="42">
        <v>188666</v>
      </c>
      <c r="J16" s="161">
        <v>149174.932</v>
      </c>
      <c r="K16" s="44">
        <f t="shared" si="1"/>
        <v>0.2042952804076538</v>
      </c>
      <c r="L16" s="76">
        <v>575</v>
      </c>
      <c r="M16" s="123">
        <v>745995</v>
      </c>
      <c r="N16" s="123">
        <v>262790</v>
      </c>
      <c r="O16" s="168">
        <v>173233.61576700001</v>
      </c>
      <c r="P16" s="125">
        <f t="shared" si="2"/>
        <v>0.25744552228942591</v>
      </c>
    </row>
    <row r="17" spans="1:16" ht="12.75" customHeight="1" x14ac:dyDescent="0.2">
      <c r="A17" s="111" t="str">
        <f>Translation!$A133</f>
        <v>De 4,00 à 4,49 %</v>
      </c>
      <c r="B17" s="30">
        <v>25</v>
      </c>
      <c r="C17" s="6">
        <v>68215</v>
      </c>
      <c r="D17" s="6">
        <v>31757</v>
      </c>
      <c r="E17" s="151">
        <v>23374.323</v>
      </c>
      <c r="F17" s="31">
        <f t="shared" si="0"/>
        <v>2.8432648413791971E-2</v>
      </c>
      <c r="G17" s="41">
        <v>57</v>
      </c>
      <c r="H17" s="42">
        <v>125509</v>
      </c>
      <c r="I17" s="42">
        <v>54719</v>
      </c>
      <c r="J17" s="161">
        <v>39368.855000000003</v>
      </c>
      <c r="K17" s="44">
        <f t="shared" si="1"/>
        <v>5.3915702616531197E-2</v>
      </c>
      <c r="L17" s="76">
        <v>137</v>
      </c>
      <c r="M17" s="123">
        <v>398515</v>
      </c>
      <c r="N17" s="123">
        <v>138928</v>
      </c>
      <c r="O17" s="168">
        <v>97281.774082000004</v>
      </c>
      <c r="P17" s="125">
        <f t="shared" si="2"/>
        <v>0.14457215493018247</v>
      </c>
    </row>
    <row r="18" spans="1:16" ht="12.75" customHeight="1" x14ac:dyDescent="0.2">
      <c r="A18" s="111" t="str">
        <f>Translation!$A134</f>
        <v>4,50 % et plus</v>
      </c>
      <c r="B18" s="30">
        <v>4</v>
      </c>
      <c r="C18" s="6">
        <v>540</v>
      </c>
      <c r="D18" s="6">
        <v>169</v>
      </c>
      <c r="E18" s="151">
        <v>210.071</v>
      </c>
      <c r="F18" s="31">
        <f t="shared" si="0"/>
        <v>2.5553146009549423E-4</v>
      </c>
      <c r="G18" s="41">
        <v>5</v>
      </c>
      <c r="H18" s="42">
        <v>2767</v>
      </c>
      <c r="I18" s="42">
        <v>1376</v>
      </c>
      <c r="J18" s="161">
        <v>523.07399999999996</v>
      </c>
      <c r="K18" s="44">
        <f t="shared" si="1"/>
        <v>7.1635058297833242E-4</v>
      </c>
      <c r="L18" s="76">
        <v>15</v>
      </c>
      <c r="M18" s="123">
        <v>7441</v>
      </c>
      <c r="N18" s="123">
        <v>4160</v>
      </c>
      <c r="O18" s="168">
        <v>3650.2688640000006</v>
      </c>
      <c r="P18" s="125">
        <f t="shared" si="2"/>
        <v>5.4247287400227863E-3</v>
      </c>
    </row>
    <row r="19" spans="1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1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1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1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1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1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1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1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1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1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1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1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1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1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3">SUM(C$12:C$35)</f>
        <v>4004037</v>
      </c>
      <c r="D36" s="7">
        <f t="shared" si="3"/>
        <v>868818</v>
      </c>
      <c r="E36" s="152">
        <f t="shared" si="3"/>
        <v>822094.46899999992</v>
      </c>
      <c r="F36" s="64">
        <f>SUM(F$12:F$35)</f>
        <v>1.0000000000000002</v>
      </c>
      <c r="G36" s="45">
        <f t="shared" ref="G36:J36" si="4">SUM(G$12:G$35)</f>
        <v>1905</v>
      </c>
      <c r="H36" s="65">
        <f t="shared" si="4"/>
        <v>3932748</v>
      </c>
      <c r="I36" s="65">
        <f t="shared" si="4"/>
        <v>943332</v>
      </c>
      <c r="J36" s="162">
        <f t="shared" si="4"/>
        <v>730192.74699999997</v>
      </c>
      <c r="K36" s="66">
        <f t="shared" ref="K36:O36" si="5">SUM(K$12:K$35)</f>
        <v>1</v>
      </c>
      <c r="L36" s="77">
        <f t="shared" si="5"/>
        <v>1862</v>
      </c>
      <c r="M36" s="126">
        <f t="shared" si="5"/>
        <v>3700498</v>
      </c>
      <c r="N36" s="126">
        <f t="shared" si="5"/>
        <v>910945</v>
      </c>
      <c r="O36" s="169">
        <f t="shared" si="5"/>
        <v>672894.26604299992</v>
      </c>
      <c r="P36" s="128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institutions de prévoyance sans garantie étatique</v>
      </c>
    </row>
    <row r="52" spans="1:16" x14ac:dyDescent="0.2">
      <c r="A52" s="115" t="str">
        <f>$A$12</f>
        <v>Pas de rentes payées directement par l'IP</v>
      </c>
      <c r="B52" s="33">
        <v>356</v>
      </c>
      <c r="C52" s="8">
        <v>1304459</v>
      </c>
      <c r="D52" s="8">
        <v>14443</v>
      </c>
      <c r="E52" s="153">
        <v>87398.26</v>
      </c>
      <c r="F52" s="34">
        <f t="shared" ref="F52:F58" si="6">E52/E$76</f>
        <v>0.12197942998706572</v>
      </c>
      <c r="G52" s="47">
        <v>333</v>
      </c>
      <c r="H52" s="48">
        <v>1342584</v>
      </c>
      <c r="I52" s="48">
        <v>111111</v>
      </c>
      <c r="J52" s="163">
        <v>51974.623</v>
      </c>
      <c r="K52" s="50">
        <f t="shared" ref="K52:K58" si="7">J52/J$76</f>
        <v>8.3139023349538932E-2</v>
      </c>
      <c r="L52" s="129">
        <v>337</v>
      </c>
      <c r="M52" s="130">
        <v>1301903</v>
      </c>
      <c r="N52" s="130">
        <v>121999.99999999999</v>
      </c>
      <c r="O52" s="170">
        <v>80807.54197999998</v>
      </c>
      <c r="P52" s="132">
        <f t="shared" ref="P52:P58" si="8">O52/O$76</f>
        <v>0.14074669434138745</v>
      </c>
    </row>
    <row r="53" spans="1:16" x14ac:dyDescent="0.2">
      <c r="A53" s="115" t="str">
        <f>$A$13</f>
        <v>Moins de 2,50 %</v>
      </c>
      <c r="B53" s="33">
        <v>152</v>
      </c>
      <c r="C53" s="8">
        <v>109467</v>
      </c>
      <c r="D53" s="8">
        <v>60502</v>
      </c>
      <c r="E53" s="153">
        <v>60163.195</v>
      </c>
      <c r="F53" s="34">
        <f t="shared" si="6"/>
        <v>8.3968173191327641E-2</v>
      </c>
      <c r="G53" s="47">
        <v>84</v>
      </c>
      <c r="H53" s="48">
        <v>40414</v>
      </c>
      <c r="I53" s="48">
        <v>21406</v>
      </c>
      <c r="J53" s="163">
        <v>17327.162</v>
      </c>
      <c r="K53" s="50">
        <f t="shared" si="7"/>
        <v>2.7716667153107465E-2</v>
      </c>
      <c r="L53" s="129">
        <v>65</v>
      </c>
      <c r="M53" s="130">
        <v>24829</v>
      </c>
      <c r="N53" s="130">
        <v>14785</v>
      </c>
      <c r="O53" s="170">
        <v>9833.6828230000028</v>
      </c>
      <c r="P53" s="132">
        <f t="shared" si="8"/>
        <v>1.7127836296288911E-2</v>
      </c>
    </row>
    <row r="54" spans="1:16" x14ac:dyDescent="0.2">
      <c r="A54" s="115" t="str">
        <f>$A$14</f>
        <v>De 2,50 à 2,99 %</v>
      </c>
      <c r="B54" s="33">
        <v>371</v>
      </c>
      <c r="C54" s="8">
        <v>601359</v>
      </c>
      <c r="D54" s="8">
        <v>182341</v>
      </c>
      <c r="E54" s="153">
        <v>166466.03400000001</v>
      </c>
      <c r="F54" s="34">
        <f t="shared" si="6"/>
        <v>0.23233222194043113</v>
      </c>
      <c r="G54" s="47">
        <v>301</v>
      </c>
      <c r="H54" s="48">
        <v>446732</v>
      </c>
      <c r="I54" s="48">
        <v>134157</v>
      </c>
      <c r="J54" s="163">
        <v>116041.11</v>
      </c>
      <c r="K54" s="50">
        <f t="shared" si="7"/>
        <v>0.1856202892283878</v>
      </c>
      <c r="L54" s="129">
        <v>169</v>
      </c>
      <c r="M54" s="130">
        <v>242715</v>
      </c>
      <c r="N54" s="130">
        <v>76153</v>
      </c>
      <c r="O54" s="170">
        <v>57414.593178999996</v>
      </c>
      <c r="P54" s="132">
        <f t="shared" si="8"/>
        <v>0.10000197999958794</v>
      </c>
    </row>
    <row r="55" spans="1:16" x14ac:dyDescent="0.2">
      <c r="A55" s="115" t="str">
        <f>$A$15</f>
        <v>De 3,00 à 3,49 %</v>
      </c>
      <c r="B55" s="33">
        <v>708</v>
      </c>
      <c r="C55" s="8">
        <v>1150747</v>
      </c>
      <c r="D55" s="8">
        <v>323865</v>
      </c>
      <c r="E55" s="153">
        <v>289371.03499999997</v>
      </c>
      <c r="F55" s="34">
        <f t="shared" si="6"/>
        <v>0.40386746720206151</v>
      </c>
      <c r="G55" s="47">
        <v>689</v>
      </c>
      <c r="H55" s="48">
        <v>1129121</v>
      </c>
      <c r="I55" s="48">
        <v>345079</v>
      </c>
      <c r="J55" s="163">
        <v>298691.05</v>
      </c>
      <c r="K55" s="50">
        <f t="shared" si="7"/>
        <v>0.47778859656660333</v>
      </c>
      <c r="L55" s="129">
        <v>541</v>
      </c>
      <c r="M55" s="130">
        <v>866644</v>
      </c>
      <c r="N55" s="130">
        <v>255449</v>
      </c>
      <c r="O55" s="170">
        <v>223464.33234799994</v>
      </c>
      <c r="P55" s="132">
        <f t="shared" si="8"/>
        <v>0.3892194380689189</v>
      </c>
    </row>
    <row r="56" spans="1:16" x14ac:dyDescent="0.2">
      <c r="A56" s="115" t="str">
        <f>$A$16</f>
        <v>De 3,50 à 3,99 %</v>
      </c>
      <c r="B56" s="33">
        <v>190</v>
      </c>
      <c r="C56" s="8">
        <v>479075</v>
      </c>
      <c r="D56" s="8">
        <v>127522</v>
      </c>
      <c r="E56" s="153">
        <v>109359.273</v>
      </c>
      <c r="F56" s="34">
        <f t="shared" si="6"/>
        <v>0.15262983249712189</v>
      </c>
      <c r="G56" s="47">
        <v>387</v>
      </c>
      <c r="H56" s="48">
        <v>564316</v>
      </c>
      <c r="I56" s="48">
        <v>150643</v>
      </c>
      <c r="J56" s="163">
        <v>125278.996</v>
      </c>
      <c r="K56" s="50">
        <f t="shared" si="7"/>
        <v>0.20039728568403076</v>
      </c>
      <c r="L56" s="129">
        <v>552</v>
      </c>
      <c r="M56" s="130">
        <v>646294</v>
      </c>
      <c r="N56" s="130">
        <v>218011</v>
      </c>
      <c r="O56" s="170">
        <v>147319.05465200002</v>
      </c>
      <c r="P56" s="132">
        <f t="shared" si="8"/>
        <v>0.25659325166577979</v>
      </c>
    </row>
    <row r="57" spans="1:16" ht="12.75" customHeight="1" x14ac:dyDescent="0.2">
      <c r="A57" s="115" t="str">
        <f>$A$17</f>
        <v>De 4,00 à 4,49 %</v>
      </c>
      <c r="B57" s="33">
        <v>22</v>
      </c>
      <c r="C57" s="8">
        <v>19015</v>
      </c>
      <c r="D57" s="8">
        <v>6127</v>
      </c>
      <c r="E57" s="153">
        <v>3582.1190000000001</v>
      </c>
      <c r="F57" s="34">
        <f t="shared" si="6"/>
        <v>4.9994683391389938E-3</v>
      </c>
      <c r="G57" s="47">
        <v>51</v>
      </c>
      <c r="H57" s="48">
        <v>51173</v>
      </c>
      <c r="I57" s="48">
        <v>21225</v>
      </c>
      <c r="J57" s="163">
        <v>15786.294</v>
      </c>
      <c r="K57" s="50">
        <f t="shared" si="7"/>
        <v>2.525188235552351E-2</v>
      </c>
      <c r="L57" s="129">
        <v>119</v>
      </c>
      <c r="M57" s="130">
        <v>227788</v>
      </c>
      <c r="N57" s="130">
        <v>66375</v>
      </c>
      <c r="O57" s="170">
        <v>52075.560082000004</v>
      </c>
      <c r="P57" s="132">
        <f t="shared" si="8"/>
        <v>9.0702708657217523E-2</v>
      </c>
    </row>
    <row r="58" spans="1:16" ht="12.75" customHeight="1" x14ac:dyDescent="0.2">
      <c r="A58" s="115" t="str">
        <f>$A$18</f>
        <v>4,50 % et plus</v>
      </c>
      <c r="B58" s="33">
        <v>3</v>
      </c>
      <c r="C58" s="8">
        <v>535</v>
      </c>
      <c r="D58" s="8">
        <v>106</v>
      </c>
      <c r="E58" s="153">
        <v>160.071</v>
      </c>
      <c r="F58" s="34">
        <f t="shared" si="6"/>
        <v>2.2340684285315977E-4</v>
      </c>
      <c r="G58" s="47">
        <v>2</v>
      </c>
      <c r="H58" s="48">
        <v>292</v>
      </c>
      <c r="I58" s="48">
        <v>6</v>
      </c>
      <c r="J58" s="163">
        <v>53.923000000000002</v>
      </c>
      <c r="K58" s="50">
        <f t="shared" si="7"/>
        <v>8.6255662808312975E-5</v>
      </c>
      <c r="L58" s="129">
        <v>13</v>
      </c>
      <c r="M58" s="130">
        <v>4976</v>
      </c>
      <c r="N58" s="130">
        <v>2928</v>
      </c>
      <c r="O58" s="170">
        <v>3219.7988640000008</v>
      </c>
      <c r="P58" s="132">
        <f t="shared" si="8"/>
        <v>5.6080909708194886E-3</v>
      </c>
    </row>
    <row r="59" spans="1:16" ht="12.75" hidden="1" customHeight="1" x14ac:dyDescent="0.2">
      <c r="A59" s="115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5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5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5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5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5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5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716499.98699999996</v>
      </c>
      <c r="F76" s="67">
        <f t="shared" ref="F76:J76" si="9">SUM(F$52:F$75)</f>
        <v>1</v>
      </c>
      <c r="G76" s="51">
        <f t="shared" si="9"/>
        <v>1847</v>
      </c>
      <c r="H76" s="68">
        <f t="shared" si="9"/>
        <v>3574632</v>
      </c>
      <c r="I76" s="68">
        <f t="shared" si="9"/>
        <v>783627</v>
      </c>
      <c r="J76" s="164">
        <f t="shared" si="9"/>
        <v>625153.15799999994</v>
      </c>
      <c r="K76" s="69">
        <f t="shared" ref="K76:O76" si="10">SUM(K$52:K$75)</f>
        <v>1.0000000000000002</v>
      </c>
      <c r="L76" s="133">
        <f t="shared" si="10"/>
        <v>1796</v>
      </c>
      <c r="M76" s="134">
        <f t="shared" si="10"/>
        <v>3315149</v>
      </c>
      <c r="N76" s="134">
        <f t="shared" si="10"/>
        <v>755701</v>
      </c>
      <c r="O76" s="171">
        <f t="shared" si="10"/>
        <v>574134.56392799993</v>
      </c>
      <c r="P76" s="136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institutions de prévoyance avec garantie étatique</v>
      </c>
    </row>
    <row r="92" spans="1:16" x14ac:dyDescent="0.2">
      <c r="A92" s="115" t="str">
        <f>$A$12</f>
        <v>Pas de rentes payées directement par l'IP</v>
      </c>
      <c r="B92" s="36">
        <v>0</v>
      </c>
      <c r="C92" s="10">
        <v>0</v>
      </c>
      <c r="D92" s="10">
        <v>0</v>
      </c>
      <c r="E92" s="155">
        <v>0</v>
      </c>
      <c r="F92" s="37">
        <f t="shared" ref="F92:F98" si="11">E92/E$116</f>
        <v>0</v>
      </c>
      <c r="G92" s="53">
        <v>2</v>
      </c>
      <c r="H92" s="54">
        <v>396</v>
      </c>
      <c r="I92" s="54">
        <v>103</v>
      </c>
      <c r="J92" s="165">
        <v>0.94</v>
      </c>
      <c r="K92" s="56">
        <f t="shared" ref="K92:K98" si="12">J92/J$116</f>
        <v>8.949006835889275E-6</v>
      </c>
      <c r="L92" s="137">
        <v>3</v>
      </c>
      <c r="M92" s="138">
        <v>10333</v>
      </c>
      <c r="N92" s="138">
        <v>1779</v>
      </c>
      <c r="O92" s="172">
        <v>1204.769</v>
      </c>
      <c r="P92" s="140">
        <f t="shared" ref="P92:P98" si="13">O92/O$116</f>
        <v>1.2198993862872489E-2</v>
      </c>
    </row>
    <row r="93" spans="1:16" x14ac:dyDescent="0.2">
      <c r="A93" s="115" t="str">
        <f>$A$13</f>
        <v>Moins de 2,50 %</v>
      </c>
      <c r="B93" s="36">
        <v>1</v>
      </c>
      <c r="C93" s="10">
        <v>8</v>
      </c>
      <c r="D93" s="10">
        <v>27</v>
      </c>
      <c r="E93" s="155">
        <v>58.438000000000002</v>
      </c>
      <c r="F93" s="37">
        <f t="shared" si="11"/>
        <v>5.5341906975783079E-4</v>
      </c>
      <c r="G93" s="53">
        <v>0</v>
      </c>
      <c r="H93" s="54">
        <v>0</v>
      </c>
      <c r="I93" s="54">
        <v>0</v>
      </c>
      <c r="J93" s="165">
        <v>0</v>
      </c>
      <c r="K93" s="56">
        <f t="shared" si="12"/>
        <v>0</v>
      </c>
      <c r="L93" s="137">
        <v>0</v>
      </c>
      <c r="M93" s="138">
        <v>0</v>
      </c>
      <c r="N93" s="138">
        <v>0</v>
      </c>
      <c r="O93" s="172">
        <v>0</v>
      </c>
      <c r="P93" s="140">
        <f t="shared" si="13"/>
        <v>0</v>
      </c>
    </row>
    <row r="94" spans="1:16" x14ac:dyDescent="0.2">
      <c r="A94" s="115" t="str">
        <f>$A$14</f>
        <v>De 2,50 à 2,99 %</v>
      </c>
      <c r="B94" s="36">
        <v>4</v>
      </c>
      <c r="C94" s="10">
        <v>40486</v>
      </c>
      <c r="D94" s="10">
        <v>17805</v>
      </c>
      <c r="E94" s="155">
        <v>13588.84</v>
      </c>
      <c r="F94" s="37">
        <f t="shared" si="11"/>
        <v>0.12868892145330096</v>
      </c>
      <c r="G94" s="53">
        <v>2</v>
      </c>
      <c r="H94" s="54">
        <v>35154</v>
      </c>
      <c r="I94" s="54">
        <v>13217</v>
      </c>
      <c r="J94" s="165">
        <v>10608.522999999999</v>
      </c>
      <c r="K94" s="56">
        <f t="shared" si="12"/>
        <v>0.10099547324009425</v>
      </c>
      <c r="L94" s="137">
        <v>4</v>
      </c>
      <c r="M94" s="138">
        <v>42740</v>
      </c>
      <c r="N94" s="138">
        <v>13656</v>
      </c>
      <c r="O94" s="172">
        <v>10437.278999999999</v>
      </c>
      <c r="P94" s="140">
        <f t="shared" si="13"/>
        <v>0.10568358122269737</v>
      </c>
    </row>
    <row r="95" spans="1:16" x14ac:dyDescent="0.2">
      <c r="A95" s="115" t="str">
        <f>$A$15</f>
        <v>De 3,00 à 3,49 %</v>
      </c>
      <c r="B95" s="36">
        <v>25</v>
      </c>
      <c r="C95" s="10">
        <v>174303</v>
      </c>
      <c r="D95" s="10">
        <v>76532</v>
      </c>
      <c r="E95" s="155">
        <v>49564.27</v>
      </c>
      <c r="F95" s="37">
        <f t="shared" si="11"/>
        <v>0.46938314447150753</v>
      </c>
      <c r="G95" s="53">
        <v>27</v>
      </c>
      <c r="H95" s="54">
        <v>161469</v>
      </c>
      <c r="I95" s="54">
        <v>73498</v>
      </c>
      <c r="J95" s="165">
        <v>46482.478000000003</v>
      </c>
      <c r="K95" s="56">
        <f t="shared" si="12"/>
        <v>0.44252341847986476</v>
      </c>
      <c r="L95" s="137">
        <v>16</v>
      </c>
      <c r="M95" s="138">
        <v>59383</v>
      </c>
      <c r="N95" s="138">
        <v>21245</v>
      </c>
      <c r="O95" s="172">
        <v>15566.409</v>
      </c>
      <c r="P95" s="140">
        <f t="shared" si="13"/>
        <v>0.15761903556446344</v>
      </c>
    </row>
    <row r="96" spans="1:16" x14ac:dyDescent="0.2">
      <c r="A96" s="115" t="str">
        <f>$A$16</f>
        <v>De 3,50 à 3,99 %</v>
      </c>
      <c r="B96" s="36">
        <v>9</v>
      </c>
      <c r="C96" s="10">
        <v>75378</v>
      </c>
      <c r="D96" s="10">
        <v>33855</v>
      </c>
      <c r="E96" s="155">
        <v>22540.73</v>
      </c>
      <c r="F96" s="37">
        <f t="shared" si="11"/>
        <v>0.213465036932517</v>
      </c>
      <c r="G96" s="53">
        <v>18</v>
      </c>
      <c r="H96" s="54">
        <v>84286</v>
      </c>
      <c r="I96" s="54">
        <v>38023</v>
      </c>
      <c r="J96" s="165">
        <v>23895.936000000002</v>
      </c>
      <c r="K96" s="56">
        <f t="shared" si="12"/>
        <v>0.22749456873826876</v>
      </c>
      <c r="L96" s="137">
        <v>23</v>
      </c>
      <c r="M96" s="138">
        <v>99701</v>
      </c>
      <c r="N96" s="138">
        <v>44779</v>
      </c>
      <c r="O96" s="172">
        <v>25914.561115</v>
      </c>
      <c r="P96" s="140">
        <f t="shared" si="13"/>
        <v>0.26240015471921924</v>
      </c>
    </row>
    <row r="97" spans="1:16" ht="12.75" customHeight="1" x14ac:dyDescent="0.2">
      <c r="A97" s="115" t="str">
        <f>$A$17</f>
        <v>De 4,00 à 4,49 %</v>
      </c>
      <c r="B97" s="36">
        <v>3</v>
      </c>
      <c r="C97" s="10">
        <v>49200</v>
      </c>
      <c r="D97" s="10">
        <v>25630</v>
      </c>
      <c r="E97" s="155">
        <v>19792.204000000002</v>
      </c>
      <c r="F97" s="37">
        <f t="shared" si="11"/>
        <v>0.18743596848176217</v>
      </c>
      <c r="G97" s="53">
        <v>6</v>
      </c>
      <c r="H97" s="54">
        <v>74336</v>
      </c>
      <c r="I97" s="54">
        <v>33494</v>
      </c>
      <c r="J97" s="165">
        <v>23582.561000000002</v>
      </c>
      <c r="K97" s="56">
        <f t="shared" si="12"/>
        <v>0.22451116978380409</v>
      </c>
      <c r="L97" s="137">
        <v>18</v>
      </c>
      <c r="M97" s="138">
        <v>170727</v>
      </c>
      <c r="N97" s="138">
        <v>72553</v>
      </c>
      <c r="O97" s="172">
        <v>45206.214</v>
      </c>
      <c r="P97" s="140">
        <f t="shared" si="13"/>
        <v>0.45773947300245971</v>
      </c>
    </row>
    <row r="98" spans="1:16" ht="12.75" customHeight="1" x14ac:dyDescent="0.2">
      <c r="A98" s="115" t="str">
        <f>$A$18</f>
        <v>4,50 % et plus</v>
      </c>
      <c r="B98" s="36">
        <v>1</v>
      </c>
      <c r="C98" s="10">
        <v>5</v>
      </c>
      <c r="D98" s="10">
        <v>63</v>
      </c>
      <c r="E98" s="155">
        <v>50</v>
      </c>
      <c r="F98" s="37">
        <f t="shared" si="11"/>
        <v>4.7350959115458329E-4</v>
      </c>
      <c r="G98" s="53">
        <v>3</v>
      </c>
      <c r="H98" s="54">
        <v>2475</v>
      </c>
      <c r="I98" s="54">
        <v>1370</v>
      </c>
      <c r="J98" s="165">
        <v>469.15100000000001</v>
      </c>
      <c r="K98" s="56">
        <f t="shared" si="12"/>
        <v>4.4664207511322229E-3</v>
      </c>
      <c r="L98" s="137">
        <v>2</v>
      </c>
      <c r="M98" s="138">
        <v>2465</v>
      </c>
      <c r="N98" s="138">
        <v>1232</v>
      </c>
      <c r="O98" s="172">
        <v>430.47</v>
      </c>
      <c r="P98" s="140">
        <f t="shared" si="13"/>
        <v>4.3587616282878463E-3</v>
      </c>
    </row>
    <row r="99" spans="1:16" ht="12.75" hidden="1" customHeight="1" x14ac:dyDescent="0.2">
      <c r="A99" s="115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105594.48199999999</v>
      </c>
      <c r="F116" s="70">
        <f t="shared" ref="F116:J116" si="14">SUM(F$92:F$115)</f>
        <v>1</v>
      </c>
      <c r="G116" s="57">
        <f t="shared" si="14"/>
        <v>58</v>
      </c>
      <c r="H116" s="71">
        <f t="shared" si="14"/>
        <v>358116</v>
      </c>
      <c r="I116" s="71">
        <f t="shared" si="14"/>
        <v>159705</v>
      </c>
      <c r="J116" s="166">
        <f t="shared" si="14"/>
        <v>105039.58900000001</v>
      </c>
      <c r="K116" s="72">
        <f t="shared" ref="K116:O116" si="15">SUM(K$92:K$115)</f>
        <v>1</v>
      </c>
      <c r="L116" s="141">
        <f t="shared" si="15"/>
        <v>66</v>
      </c>
      <c r="M116" s="142">
        <f t="shared" si="15"/>
        <v>385349</v>
      </c>
      <c r="N116" s="142">
        <f t="shared" si="15"/>
        <v>155244</v>
      </c>
      <c r="O116" s="173">
        <f t="shared" si="15"/>
        <v>98759.702114999993</v>
      </c>
      <c r="P116" s="144">
        <f>SUM(P$92:P$115)</f>
        <v>1.0000000000000002</v>
      </c>
    </row>
    <row r="120" spans="1:16" x14ac:dyDescent="0.2">
      <c r="A120" s="111" t="str">
        <f>Translation!$A$36</f>
        <v>somme du bilan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3">
    <pageSetUpPr fitToPage="1"/>
  </sheetPr>
  <dimension ref="A1:P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1" customWidth="1"/>
    <col min="2" max="2" width="11" style="25" customWidth="1"/>
    <col min="3" max="4" width="11" style="18"/>
    <col min="5" max="5" width="11" style="148"/>
    <col min="6" max="6" width="11" style="27"/>
    <col min="7" max="7" width="11" style="25" customWidth="1"/>
    <col min="8" max="9" width="11" style="18"/>
    <col min="10" max="10" width="11" style="159"/>
    <col min="11" max="11" width="11" style="27"/>
    <col min="12" max="12" width="11" style="25"/>
    <col min="13" max="14" width="11" style="18"/>
    <col min="15" max="15" width="11" style="159"/>
    <col min="16" max="16" width="11" style="27"/>
    <col min="17" max="16384" width="11" style="1"/>
  </cols>
  <sheetData>
    <row r="1" spans="1:16" s="22" customFormat="1" ht="18" x14ac:dyDescent="0.25">
      <c r="A1" s="109" t="str">
        <f>Translation!$A$135</f>
        <v>Taux d'intérêt promis applicable aux futures rentes</v>
      </c>
      <c r="B1" s="21"/>
      <c r="E1" s="147"/>
      <c r="F1" s="24"/>
      <c r="G1" s="21"/>
      <c r="J1" s="158"/>
      <c r="K1" s="24"/>
      <c r="L1" s="21"/>
      <c r="O1" s="158"/>
      <c r="P1" s="24"/>
    </row>
    <row r="2" spans="1:16" s="18" customFormat="1" x14ac:dyDescent="0.2">
      <c r="A2" s="122" t="str">
        <f>Translation!$A$27</f>
        <v>retour à la vue d'ensemble</v>
      </c>
      <c r="B2" s="25"/>
      <c r="E2" s="148"/>
      <c r="F2" s="27"/>
      <c r="G2" s="25"/>
      <c r="J2" s="159"/>
      <c r="K2" s="27"/>
      <c r="L2" s="25"/>
      <c r="O2" s="159"/>
      <c r="P2" s="27"/>
    </row>
    <row r="3" spans="1:16" s="18" customFormat="1" ht="15.75" x14ac:dyDescent="0.25">
      <c r="A3" s="111"/>
      <c r="B3" s="177">
        <v>2014</v>
      </c>
      <c r="C3" s="178"/>
      <c r="D3" s="178"/>
      <c r="E3" s="178"/>
      <c r="F3" s="179"/>
      <c r="G3" s="177">
        <v>2013</v>
      </c>
      <c r="H3" s="178"/>
      <c r="I3" s="178"/>
      <c r="J3" s="178"/>
      <c r="K3" s="179"/>
      <c r="L3" s="177">
        <v>2012</v>
      </c>
      <c r="M3" s="178"/>
      <c r="N3" s="178"/>
      <c r="O3" s="178"/>
      <c r="P3" s="179"/>
    </row>
    <row r="4" spans="1:16" s="18" customFormat="1" ht="38.25" x14ac:dyDescent="0.2">
      <c r="A4" s="112"/>
      <c r="B4" s="28" t="str">
        <f>Translation!$A$40</f>
        <v>Nombre d'IP</v>
      </c>
      <c r="C4" s="19" t="str">
        <f>Translation!$A$41</f>
        <v>Nombre d'assurés actifs</v>
      </c>
      <c r="D4" s="19" t="str">
        <f>Translation!$A$42</f>
        <v>Nombre de rentiers</v>
      </c>
      <c r="E4" s="149" t="str">
        <f>Translation!$A$43</f>
        <v>Somme du bilan</v>
      </c>
      <c r="F4" s="29" t="str">
        <f>Translation!$A$46</f>
        <v>Part de la somme du bilan</v>
      </c>
      <c r="G4" s="28" t="str">
        <f>Translation!$A$40</f>
        <v>Nombre d'IP</v>
      </c>
      <c r="H4" s="19" t="str">
        <f>Translation!$A$41</f>
        <v>Nombre d'assurés actifs</v>
      </c>
      <c r="I4" s="19" t="str">
        <f>Translation!$A$42</f>
        <v>Nombre de rentiers</v>
      </c>
      <c r="J4" s="149" t="str">
        <f>Translation!$A$43</f>
        <v>Somme du bilan</v>
      </c>
      <c r="K4" s="29" t="str">
        <f>Translation!$A$46</f>
        <v>Part de la somme du bilan</v>
      </c>
      <c r="L4" s="28" t="str">
        <f>Translation!$A$40</f>
        <v>Nombre d'IP</v>
      </c>
      <c r="M4" s="73" t="str">
        <f>Translation!$A$41</f>
        <v>Nombre d'assurés actifs</v>
      </c>
      <c r="N4" s="73" t="str">
        <f>Translation!$A$42</f>
        <v>Nombre de rentiers</v>
      </c>
      <c r="O4" s="149" t="str">
        <f>Translation!$A$43</f>
        <v>Somme du bilan</v>
      </c>
      <c r="P4" s="29" t="str">
        <f>Translation!$A$46</f>
        <v>Part de la somme du bilan</v>
      </c>
    </row>
    <row r="5" spans="1:16" s="60" customFormat="1" ht="13.5" thickBot="1" x14ac:dyDescent="0.25">
      <c r="A5" s="113"/>
      <c r="B5" s="59"/>
      <c r="E5" s="150"/>
      <c r="F5" s="62"/>
      <c r="G5" s="59"/>
      <c r="J5" s="160"/>
      <c r="K5" s="62"/>
      <c r="L5" s="59"/>
      <c r="M5" s="74"/>
      <c r="N5" s="74"/>
      <c r="O5" s="160"/>
      <c r="P5" s="62"/>
    </row>
    <row r="6" spans="1:16" x14ac:dyDescent="0.2">
      <c r="M6" s="75"/>
      <c r="N6" s="75"/>
    </row>
    <row r="7" spans="1:16" ht="12.75" hidden="1" customHeight="1" x14ac:dyDescent="0.2">
      <c r="M7" s="75"/>
      <c r="N7" s="75"/>
    </row>
    <row r="8" spans="1:16" ht="12.75" hidden="1" customHeight="1" x14ac:dyDescent="0.2">
      <c r="M8" s="75"/>
      <c r="N8" s="75"/>
    </row>
    <row r="9" spans="1:16" ht="12.75" hidden="1" customHeight="1" x14ac:dyDescent="0.2">
      <c r="M9" s="75"/>
      <c r="N9" s="75"/>
    </row>
    <row r="10" spans="1:16" x14ac:dyDescent="0.2">
      <c r="M10" s="75"/>
      <c r="N10" s="75"/>
    </row>
    <row r="11" spans="1:16" x14ac:dyDescent="0.2">
      <c r="A11" s="114" t="str">
        <f>Translation!$A$28</f>
        <v>toutes les institutions de prévoyance</v>
      </c>
    </row>
    <row r="12" spans="1:16" x14ac:dyDescent="0.2">
      <c r="A12" s="115" t="str">
        <f>Translation!$A136</f>
        <v>Assurance / Prestations sous forme de capital</v>
      </c>
      <c r="B12" s="30">
        <v>537</v>
      </c>
      <c r="C12" s="6">
        <v>1279262</v>
      </c>
      <c r="D12" s="6">
        <v>16076</v>
      </c>
      <c r="E12" s="151">
        <v>93566.865999999995</v>
      </c>
      <c r="F12" s="31">
        <f>'17'!E12/'17'!E$36</f>
        <v>0.11381522383165432</v>
      </c>
      <c r="G12" s="41">
        <v>434</v>
      </c>
      <c r="H12" s="42">
        <v>1353962</v>
      </c>
      <c r="I12" s="42">
        <v>117799</v>
      </c>
      <c r="J12" s="161">
        <v>56820.256000000001</v>
      </c>
      <c r="K12" s="44">
        <f>'17'!J12/'17'!J$36</f>
        <v>7.781542097404591E-2</v>
      </c>
      <c r="L12" s="76">
        <v>340</v>
      </c>
      <c r="M12" s="123">
        <v>1312236</v>
      </c>
      <c r="N12" s="123">
        <v>123778.99999999999</v>
      </c>
      <c r="O12" s="168">
        <v>82012.310980000024</v>
      </c>
      <c r="P12" s="125">
        <f>'17'!O12/'17'!O$36</f>
        <v>0.12187993733737536</v>
      </c>
    </row>
    <row r="13" spans="1:16" x14ac:dyDescent="0.2">
      <c r="A13" s="115" t="str">
        <f>Translation!$A137</f>
        <v>Moins de 2,50 %</v>
      </c>
      <c r="B13" s="30">
        <v>33</v>
      </c>
      <c r="C13" s="6">
        <v>98097</v>
      </c>
      <c r="D13" s="6">
        <v>64424</v>
      </c>
      <c r="E13" s="151">
        <v>42965.695</v>
      </c>
      <c r="F13" s="31">
        <f>'17'!E13/'17'!E$36</f>
        <v>5.226369549993895E-2</v>
      </c>
      <c r="G13" s="41">
        <v>26</v>
      </c>
      <c r="H13" s="42">
        <v>50770</v>
      </c>
      <c r="I13" s="42">
        <v>29018</v>
      </c>
      <c r="J13" s="161">
        <v>19594.081999999999</v>
      </c>
      <c r="K13" s="44">
        <f>'17'!J13/'17'!J$36</f>
        <v>2.6834123018206313E-2</v>
      </c>
      <c r="L13" s="76">
        <v>6</v>
      </c>
      <c r="M13" s="123">
        <v>591</v>
      </c>
      <c r="N13" s="123">
        <v>301</v>
      </c>
      <c r="O13" s="168">
        <v>297.779</v>
      </c>
      <c r="P13" s="125">
        <f>'17'!O13/'17'!O$36</f>
        <v>4.4253460763027364E-4</v>
      </c>
    </row>
    <row r="14" spans="1:16" x14ac:dyDescent="0.2">
      <c r="A14" s="115" t="str">
        <f>Translation!$A138</f>
        <v>De 2,50 à 2,99 %</v>
      </c>
      <c r="B14" s="30">
        <v>90</v>
      </c>
      <c r="C14" s="6">
        <v>217223</v>
      </c>
      <c r="D14" s="6">
        <v>114249</v>
      </c>
      <c r="E14" s="151">
        <v>117276.26300000001</v>
      </c>
      <c r="F14" s="31">
        <f>'17'!E14/'17'!E$36</f>
        <v>0.14265545800673671</v>
      </c>
      <c r="G14" s="41">
        <v>75</v>
      </c>
      <c r="H14" s="42">
        <v>189128</v>
      </c>
      <c r="I14" s="42">
        <v>104219</v>
      </c>
      <c r="J14" s="161">
        <v>103026.284</v>
      </c>
      <c r="K14" s="44">
        <f>'17'!J14/'17'!J$36</f>
        <v>0.14109464168643682</v>
      </c>
      <c r="L14" s="76">
        <v>22</v>
      </c>
      <c r="M14" s="123">
        <v>34462</v>
      </c>
      <c r="N14" s="123">
        <v>21973</v>
      </c>
      <c r="O14" s="168">
        <v>25184.571281999997</v>
      </c>
      <c r="P14" s="125">
        <f>'17'!O14/'17'!O$36</f>
        <v>3.7427234192527095E-2</v>
      </c>
    </row>
    <row r="15" spans="1:16" x14ac:dyDescent="0.2">
      <c r="A15" s="115" t="str">
        <f>Translation!$A139</f>
        <v>De 3,00 à 3,49 %</v>
      </c>
      <c r="B15" s="30">
        <v>393</v>
      </c>
      <c r="C15" s="6">
        <v>604759</v>
      </c>
      <c r="D15" s="6">
        <v>215101</v>
      </c>
      <c r="E15" s="151">
        <v>195091.88099999999</v>
      </c>
      <c r="F15" s="31">
        <f>'17'!E15/'17'!E$36</f>
        <v>0.23731078161529393</v>
      </c>
      <c r="G15" s="41">
        <v>344</v>
      </c>
      <c r="H15" s="42">
        <v>514875</v>
      </c>
      <c r="I15" s="42">
        <v>192096</v>
      </c>
      <c r="J15" s="161">
        <v>171543.041</v>
      </c>
      <c r="K15" s="44">
        <f>'17'!J15/'17'!J$36</f>
        <v>0.23492843732669944</v>
      </c>
      <c r="L15" s="76">
        <v>182</v>
      </c>
      <c r="M15" s="123">
        <v>262384</v>
      </c>
      <c r="N15" s="123">
        <v>109478</v>
      </c>
      <c r="O15" s="168">
        <v>84508.225685999976</v>
      </c>
      <c r="P15" s="125">
        <f>'17'!O15/'17'!O$36</f>
        <v>0.12558916006664209</v>
      </c>
    </row>
    <row r="16" spans="1:16" x14ac:dyDescent="0.2">
      <c r="A16" s="115" t="str">
        <f>Translation!$A140</f>
        <v>De 3,50 à 3,99 %</v>
      </c>
      <c r="B16" s="30">
        <v>390</v>
      </c>
      <c r="C16" s="6">
        <v>919510</v>
      </c>
      <c r="D16" s="6">
        <v>283174</v>
      </c>
      <c r="E16" s="151">
        <v>231593.467</v>
      </c>
      <c r="F16" s="31">
        <f>'17'!E16/'17'!E$36</f>
        <v>0.28171150121191246</v>
      </c>
      <c r="G16" s="41">
        <v>458</v>
      </c>
      <c r="H16" s="42">
        <v>917446</v>
      </c>
      <c r="I16" s="42">
        <v>303817</v>
      </c>
      <c r="J16" s="161">
        <v>229203.63099999999</v>
      </c>
      <c r="K16" s="44">
        <f>'17'!J16/'17'!J$36</f>
        <v>0.31389469690254262</v>
      </c>
      <c r="L16" s="76">
        <v>396</v>
      </c>
      <c r="M16" s="123">
        <v>649698</v>
      </c>
      <c r="N16" s="123">
        <v>283327</v>
      </c>
      <c r="O16" s="168">
        <v>230350.52534999989</v>
      </c>
      <c r="P16" s="125">
        <f>'17'!O16/'17'!O$36</f>
        <v>0.34232796588473202</v>
      </c>
    </row>
    <row r="17" spans="1:16" ht="12.75" customHeight="1" x14ac:dyDescent="0.2">
      <c r="A17" s="111" t="str">
        <f>Translation!$A141</f>
        <v>De 4,00 à 4,49 %</v>
      </c>
      <c r="B17" s="30">
        <v>152</v>
      </c>
      <c r="C17" s="6">
        <v>384923</v>
      </c>
      <c r="D17" s="6">
        <v>108808</v>
      </c>
      <c r="E17" s="151">
        <v>90986.885999999999</v>
      </c>
      <c r="F17" s="31">
        <f>'17'!E17/'17'!E$36</f>
        <v>0.11067692270290655</v>
      </c>
      <c r="G17" s="41">
        <v>223</v>
      </c>
      <c r="H17" s="42">
        <v>409481</v>
      </c>
      <c r="I17" s="42">
        <v>127860</v>
      </c>
      <c r="J17" s="161">
        <v>102037.26300000001</v>
      </c>
      <c r="K17" s="44">
        <f>'17'!J17/'17'!J$36</f>
        <v>0.13974017602779615</v>
      </c>
      <c r="L17" s="76">
        <v>354</v>
      </c>
      <c r="M17" s="123">
        <v>532308</v>
      </c>
      <c r="N17" s="123">
        <v>205024</v>
      </c>
      <c r="O17" s="168">
        <v>131315.93517700004</v>
      </c>
      <c r="P17" s="125">
        <f>'17'!O17/'17'!O$36</f>
        <v>0.19515092014264324</v>
      </c>
    </row>
    <row r="18" spans="1:16" ht="12.75" customHeight="1" x14ac:dyDescent="0.2">
      <c r="A18" s="111" t="str">
        <f>Translation!$A142</f>
        <v>4,50 % et plus</v>
      </c>
      <c r="B18" s="30">
        <v>250</v>
      </c>
      <c r="C18" s="6">
        <v>500263</v>
      </c>
      <c r="D18" s="6">
        <v>66986</v>
      </c>
      <c r="E18" s="151">
        <v>50613.411</v>
      </c>
      <c r="F18" s="31">
        <f>'17'!E18/'17'!E$36</f>
        <v>6.156641713155718E-2</v>
      </c>
      <c r="G18" s="41">
        <v>345</v>
      </c>
      <c r="H18" s="42">
        <v>497086</v>
      </c>
      <c r="I18" s="42">
        <v>68523</v>
      </c>
      <c r="J18" s="161">
        <v>47968.19</v>
      </c>
      <c r="K18" s="44">
        <f>'17'!J18/'17'!J$36</f>
        <v>6.569250406427278E-2</v>
      </c>
      <c r="L18" s="76">
        <v>562</v>
      </c>
      <c r="M18" s="123">
        <v>908819</v>
      </c>
      <c r="N18" s="123">
        <v>167063</v>
      </c>
      <c r="O18" s="168">
        <v>119224.91856800011</v>
      </c>
      <c r="P18" s="125">
        <f>'17'!O18/'17'!O$36</f>
        <v>0.17718224776844996</v>
      </c>
    </row>
    <row r="19" spans="1:16" ht="12.75" hidden="1" customHeight="1" x14ac:dyDescent="0.2">
      <c r="B19" s="30"/>
      <c r="C19" s="6"/>
      <c r="D19" s="6"/>
      <c r="E19" s="151"/>
      <c r="F19" s="31"/>
      <c r="G19" s="41"/>
      <c r="H19" s="42"/>
      <c r="I19" s="42"/>
      <c r="J19" s="161"/>
      <c r="K19" s="44"/>
      <c r="L19" s="76"/>
      <c r="M19" s="123"/>
      <c r="N19" s="123"/>
      <c r="O19" s="168"/>
      <c r="P19" s="125"/>
    </row>
    <row r="20" spans="1:16" ht="12.75" hidden="1" customHeight="1" x14ac:dyDescent="0.2">
      <c r="B20" s="30"/>
      <c r="C20" s="6"/>
      <c r="D20" s="6"/>
      <c r="E20" s="151"/>
      <c r="F20" s="31"/>
      <c r="G20" s="41"/>
      <c r="H20" s="42"/>
      <c r="I20" s="42"/>
      <c r="J20" s="161"/>
      <c r="K20" s="44"/>
      <c r="L20" s="76"/>
      <c r="M20" s="123"/>
      <c r="N20" s="123"/>
      <c r="O20" s="168"/>
      <c r="P20" s="125"/>
    </row>
    <row r="21" spans="1:16" ht="12.75" hidden="1" customHeight="1" x14ac:dyDescent="0.2">
      <c r="B21" s="30"/>
      <c r="C21" s="6"/>
      <c r="D21" s="6"/>
      <c r="E21" s="151"/>
      <c r="F21" s="31"/>
      <c r="G21" s="41"/>
      <c r="H21" s="42"/>
      <c r="I21" s="42"/>
      <c r="J21" s="161"/>
      <c r="K21" s="44"/>
      <c r="L21" s="76"/>
      <c r="M21" s="123"/>
      <c r="N21" s="123"/>
      <c r="O21" s="168"/>
      <c r="P21" s="125"/>
    </row>
    <row r="22" spans="1:16" ht="12.75" hidden="1" customHeight="1" x14ac:dyDescent="0.2">
      <c r="B22" s="30"/>
      <c r="C22" s="6"/>
      <c r="D22" s="6"/>
      <c r="E22" s="151"/>
      <c r="F22" s="31"/>
      <c r="G22" s="41"/>
      <c r="H22" s="42"/>
      <c r="I22" s="42"/>
      <c r="J22" s="161"/>
      <c r="K22" s="44"/>
      <c r="L22" s="76"/>
      <c r="M22" s="123"/>
      <c r="N22" s="123"/>
      <c r="O22" s="168"/>
      <c r="P22" s="125"/>
    </row>
    <row r="23" spans="1:16" ht="12.75" hidden="1" customHeight="1" x14ac:dyDescent="0.2">
      <c r="B23" s="30"/>
      <c r="C23" s="6"/>
      <c r="D23" s="6"/>
      <c r="E23" s="151"/>
      <c r="F23" s="31"/>
      <c r="G23" s="41"/>
      <c r="H23" s="42"/>
      <c r="I23" s="42"/>
      <c r="J23" s="161"/>
      <c r="K23" s="44"/>
      <c r="L23" s="76"/>
      <c r="M23" s="123"/>
      <c r="N23" s="123"/>
      <c r="O23" s="168"/>
      <c r="P23" s="125"/>
    </row>
    <row r="24" spans="1:16" ht="12.75" hidden="1" customHeight="1" x14ac:dyDescent="0.2">
      <c r="B24" s="30"/>
      <c r="C24" s="6"/>
      <c r="D24" s="6"/>
      <c r="E24" s="151"/>
      <c r="F24" s="31"/>
      <c r="G24" s="41"/>
      <c r="H24" s="42"/>
      <c r="I24" s="42"/>
      <c r="J24" s="161"/>
      <c r="K24" s="44"/>
      <c r="L24" s="76"/>
      <c r="M24" s="123"/>
      <c r="N24" s="123"/>
      <c r="O24" s="168"/>
      <c r="P24" s="125"/>
    </row>
    <row r="25" spans="1:16" ht="12.75" hidden="1" customHeight="1" x14ac:dyDescent="0.2">
      <c r="B25" s="30"/>
      <c r="C25" s="6"/>
      <c r="D25" s="6"/>
      <c r="E25" s="151"/>
      <c r="F25" s="31"/>
      <c r="G25" s="41"/>
      <c r="H25" s="42"/>
      <c r="I25" s="42"/>
      <c r="J25" s="161"/>
      <c r="K25" s="44"/>
      <c r="L25" s="76"/>
      <c r="M25" s="123"/>
      <c r="N25" s="123"/>
      <c r="O25" s="168"/>
      <c r="P25" s="125"/>
    </row>
    <row r="26" spans="1:16" ht="12.75" hidden="1" customHeight="1" x14ac:dyDescent="0.2">
      <c r="B26" s="30"/>
      <c r="C26" s="6"/>
      <c r="D26" s="6"/>
      <c r="E26" s="151"/>
      <c r="F26" s="31"/>
      <c r="G26" s="41"/>
      <c r="H26" s="42"/>
      <c r="I26" s="42"/>
      <c r="J26" s="161"/>
      <c r="K26" s="44"/>
      <c r="L26" s="76"/>
      <c r="M26" s="123"/>
      <c r="N26" s="123"/>
      <c r="O26" s="168"/>
      <c r="P26" s="125"/>
    </row>
    <row r="27" spans="1:16" ht="12.75" hidden="1" customHeight="1" x14ac:dyDescent="0.2">
      <c r="B27" s="30"/>
      <c r="C27" s="6"/>
      <c r="D27" s="6"/>
      <c r="E27" s="151"/>
      <c r="F27" s="31"/>
      <c r="G27" s="41"/>
      <c r="H27" s="42"/>
      <c r="I27" s="42"/>
      <c r="J27" s="161"/>
      <c r="K27" s="44"/>
      <c r="L27" s="76"/>
      <c r="M27" s="123"/>
      <c r="N27" s="123"/>
      <c r="O27" s="168"/>
      <c r="P27" s="125"/>
    </row>
    <row r="28" spans="1:16" ht="12.75" hidden="1" customHeight="1" x14ac:dyDescent="0.2">
      <c r="B28" s="30"/>
      <c r="C28" s="6"/>
      <c r="D28" s="6"/>
      <c r="E28" s="151"/>
      <c r="F28" s="31"/>
      <c r="G28" s="41"/>
      <c r="H28" s="42"/>
      <c r="I28" s="42"/>
      <c r="J28" s="161"/>
      <c r="K28" s="44"/>
      <c r="L28" s="76"/>
      <c r="M28" s="123"/>
      <c r="N28" s="123"/>
      <c r="O28" s="168"/>
      <c r="P28" s="125"/>
    </row>
    <row r="29" spans="1:16" ht="12.75" hidden="1" customHeight="1" x14ac:dyDescent="0.2">
      <c r="B29" s="30"/>
      <c r="C29" s="6"/>
      <c r="D29" s="6"/>
      <c r="E29" s="151"/>
      <c r="F29" s="31"/>
      <c r="G29" s="41"/>
      <c r="H29" s="42"/>
      <c r="I29" s="42"/>
      <c r="J29" s="161"/>
      <c r="K29" s="44"/>
      <c r="L29" s="76"/>
      <c r="M29" s="123"/>
      <c r="N29" s="123"/>
      <c r="O29" s="168"/>
      <c r="P29" s="125"/>
    </row>
    <row r="30" spans="1:16" ht="12.75" hidden="1" customHeight="1" x14ac:dyDescent="0.2">
      <c r="B30" s="30"/>
      <c r="C30" s="6"/>
      <c r="D30" s="6"/>
      <c r="E30" s="151"/>
      <c r="F30" s="31"/>
      <c r="G30" s="41"/>
      <c r="H30" s="42"/>
      <c r="I30" s="42"/>
      <c r="J30" s="161"/>
      <c r="K30" s="44"/>
      <c r="L30" s="76"/>
      <c r="M30" s="123"/>
      <c r="N30" s="123"/>
      <c r="O30" s="168"/>
      <c r="P30" s="125"/>
    </row>
    <row r="31" spans="1:16" ht="12.75" hidden="1" customHeight="1" x14ac:dyDescent="0.2">
      <c r="B31" s="30"/>
      <c r="C31" s="6"/>
      <c r="D31" s="6"/>
      <c r="E31" s="151"/>
      <c r="F31" s="31"/>
      <c r="G31" s="41"/>
      <c r="H31" s="42"/>
      <c r="I31" s="42"/>
      <c r="J31" s="161"/>
      <c r="K31" s="44"/>
      <c r="L31" s="76"/>
      <c r="M31" s="123"/>
      <c r="N31" s="123"/>
      <c r="O31" s="168"/>
      <c r="P31" s="125"/>
    </row>
    <row r="32" spans="1:16" ht="12.75" hidden="1" customHeight="1" x14ac:dyDescent="0.2">
      <c r="B32" s="30"/>
      <c r="C32" s="6"/>
      <c r="D32" s="6"/>
      <c r="E32" s="151"/>
      <c r="F32" s="31"/>
      <c r="G32" s="41"/>
      <c r="H32" s="42"/>
      <c r="I32" s="42"/>
      <c r="J32" s="161"/>
      <c r="K32" s="44"/>
      <c r="L32" s="76"/>
      <c r="M32" s="123"/>
      <c r="N32" s="123"/>
      <c r="O32" s="168"/>
      <c r="P32" s="125"/>
    </row>
    <row r="33" spans="1:16" ht="12.75" hidden="1" customHeight="1" x14ac:dyDescent="0.2">
      <c r="B33" s="30"/>
      <c r="C33" s="6"/>
      <c r="D33" s="6"/>
      <c r="E33" s="151"/>
      <c r="F33" s="31"/>
      <c r="G33" s="41"/>
      <c r="H33" s="42"/>
      <c r="I33" s="42"/>
      <c r="J33" s="161"/>
      <c r="K33" s="44"/>
      <c r="L33" s="76"/>
      <c r="M33" s="123"/>
      <c r="N33" s="123"/>
      <c r="O33" s="168"/>
      <c r="P33" s="125"/>
    </row>
    <row r="34" spans="1:16" ht="12.75" hidden="1" customHeight="1" x14ac:dyDescent="0.2">
      <c r="B34" s="30"/>
      <c r="C34" s="6"/>
      <c r="D34" s="6"/>
      <c r="E34" s="151"/>
      <c r="F34" s="31"/>
      <c r="G34" s="41"/>
      <c r="H34" s="42"/>
      <c r="I34" s="42"/>
      <c r="J34" s="161"/>
      <c r="K34" s="44"/>
      <c r="L34" s="76"/>
      <c r="M34" s="123"/>
      <c r="N34" s="123"/>
      <c r="O34" s="168"/>
      <c r="P34" s="125"/>
    </row>
    <row r="35" spans="1:16" ht="12.75" hidden="1" customHeight="1" x14ac:dyDescent="0.2">
      <c r="B35" s="30"/>
      <c r="C35" s="6"/>
      <c r="D35" s="6"/>
      <c r="E35" s="151"/>
      <c r="F35" s="31"/>
      <c r="G35" s="41"/>
      <c r="H35" s="42"/>
      <c r="I35" s="42"/>
      <c r="J35" s="161"/>
      <c r="K35" s="44"/>
      <c r="L35" s="76"/>
      <c r="M35" s="123"/>
      <c r="N35" s="123"/>
      <c r="O35" s="168"/>
      <c r="P35" s="125"/>
    </row>
    <row r="36" spans="1:16" x14ac:dyDescent="0.2">
      <c r="A36" s="116" t="s">
        <v>2</v>
      </c>
      <c r="B36" s="32">
        <f>SUM(B$12:B$35)</f>
        <v>1845</v>
      </c>
      <c r="C36" s="7">
        <f t="shared" ref="C36:E36" si="0">SUM(C$12:C$35)</f>
        <v>4004037</v>
      </c>
      <c r="D36" s="7">
        <f t="shared" si="0"/>
        <v>868818</v>
      </c>
      <c r="E36" s="152">
        <f t="shared" si="0"/>
        <v>822094.46899999992</v>
      </c>
      <c r="F36" s="64">
        <f>SUM(F$12:F$35)</f>
        <v>1</v>
      </c>
      <c r="G36" s="45">
        <f t="shared" ref="G36:J36" si="1">SUM(G$12:G$35)</f>
        <v>1905</v>
      </c>
      <c r="H36" s="65">
        <f t="shared" si="1"/>
        <v>3932748</v>
      </c>
      <c r="I36" s="65">
        <f t="shared" si="1"/>
        <v>943332</v>
      </c>
      <c r="J36" s="162">
        <f t="shared" si="1"/>
        <v>730192.74699999997</v>
      </c>
      <c r="K36" s="66">
        <f t="shared" ref="K36:O36" si="2">SUM(K$12:K$35)</f>
        <v>0.99999999999999989</v>
      </c>
      <c r="L36" s="77">
        <f t="shared" si="2"/>
        <v>1862</v>
      </c>
      <c r="M36" s="126">
        <f t="shared" si="2"/>
        <v>3700498</v>
      </c>
      <c r="N36" s="126">
        <f t="shared" si="2"/>
        <v>910945</v>
      </c>
      <c r="O36" s="169">
        <f t="shared" si="2"/>
        <v>672894.26604300004</v>
      </c>
      <c r="P36" s="128">
        <f>SUM(P$12:P$35)</f>
        <v>1</v>
      </c>
    </row>
    <row r="39" spans="1:16" ht="12.75" hidden="1" customHeight="1" x14ac:dyDescent="0.2"/>
    <row r="40" spans="1:16" ht="12.75" hidden="1" customHeight="1" x14ac:dyDescent="0.2"/>
    <row r="41" spans="1:16" ht="12.75" hidden="1" customHeight="1" x14ac:dyDescent="0.2"/>
    <row r="42" spans="1:16" ht="12.75" hidden="1" customHeight="1" x14ac:dyDescent="0.2"/>
    <row r="43" spans="1:16" ht="12.75" hidden="1" customHeight="1" x14ac:dyDescent="0.2"/>
    <row r="44" spans="1:16" ht="12.75" hidden="1" customHeight="1" x14ac:dyDescent="0.2"/>
    <row r="45" spans="1:16" ht="12.75" hidden="1" customHeight="1" x14ac:dyDescent="0.2"/>
    <row r="46" spans="1:16" ht="12.75" hidden="1" customHeight="1" x14ac:dyDescent="0.2"/>
    <row r="47" spans="1:16" ht="12.75" hidden="1" customHeight="1" x14ac:dyDescent="0.2"/>
    <row r="48" spans="1:16" ht="12.75" hidden="1" customHeight="1" x14ac:dyDescent="0.2"/>
    <row r="49" spans="1:16" ht="12.75" hidden="1" customHeight="1" x14ac:dyDescent="0.2"/>
    <row r="51" spans="1:16" x14ac:dyDescent="0.2">
      <c r="A51" s="117" t="str">
        <f>Translation!$A$29</f>
        <v>institutions de prévoyance sans garantie étatique</v>
      </c>
    </row>
    <row r="52" spans="1:16" x14ac:dyDescent="0.2">
      <c r="A52" s="115" t="str">
        <f>$A$12</f>
        <v>Assurance / Prestations sous forme de capital</v>
      </c>
      <c r="B52" s="33">
        <v>537</v>
      </c>
      <c r="C52" s="8">
        <v>1279262</v>
      </c>
      <c r="D52" s="8">
        <v>16076</v>
      </c>
      <c r="E52" s="153">
        <v>93566.865999999995</v>
      </c>
      <c r="F52" s="34">
        <f>'17'!E52/'17'!E$76</f>
        <v>0.13058878952917549</v>
      </c>
      <c r="G52" s="47">
        <v>431</v>
      </c>
      <c r="H52" s="48">
        <v>1352974</v>
      </c>
      <c r="I52" s="48">
        <v>117345</v>
      </c>
      <c r="J52" s="163">
        <v>56710.362000000001</v>
      </c>
      <c r="K52" s="50">
        <f>'17'!J52/'17'!J$76</f>
        <v>9.0714349394680663E-2</v>
      </c>
      <c r="L52" s="129">
        <v>337</v>
      </c>
      <c r="M52" s="130">
        <v>1301903</v>
      </c>
      <c r="N52" s="130">
        <v>121999.99999999999</v>
      </c>
      <c r="O52" s="170">
        <v>80807.541980000024</v>
      </c>
      <c r="P52" s="132">
        <f>'17'!O52/'17'!O$76</f>
        <v>0.14074669434138751</v>
      </c>
    </row>
    <row r="53" spans="1:16" x14ac:dyDescent="0.2">
      <c r="A53" s="115" t="str">
        <f>$A$13</f>
        <v>Moins de 2,50 %</v>
      </c>
      <c r="B53" s="33">
        <v>33</v>
      </c>
      <c r="C53" s="8">
        <v>98097</v>
      </c>
      <c r="D53" s="8">
        <v>64424</v>
      </c>
      <c r="E53" s="153">
        <v>42965.695</v>
      </c>
      <c r="F53" s="34">
        <f>'17'!E53/'17'!E$76</f>
        <v>5.99660792457209E-2</v>
      </c>
      <c r="G53" s="47">
        <v>26</v>
      </c>
      <c r="H53" s="48">
        <v>50770</v>
      </c>
      <c r="I53" s="48">
        <v>29018</v>
      </c>
      <c r="J53" s="163">
        <v>19594.081999999999</v>
      </c>
      <c r="K53" s="50">
        <f>'17'!J53/'17'!J$76</f>
        <v>3.1342850546713548E-2</v>
      </c>
      <c r="L53" s="129">
        <v>6</v>
      </c>
      <c r="M53" s="130">
        <v>591</v>
      </c>
      <c r="N53" s="130">
        <v>301</v>
      </c>
      <c r="O53" s="170">
        <v>297.779</v>
      </c>
      <c r="P53" s="132">
        <f>'17'!O53/'17'!O$76</f>
        <v>5.1865715584638328E-4</v>
      </c>
    </row>
    <row r="54" spans="1:16" x14ac:dyDescent="0.2">
      <c r="A54" s="115" t="str">
        <f>$A$14</f>
        <v>De 2,50 à 2,99 %</v>
      </c>
      <c r="B54" s="33">
        <v>90</v>
      </c>
      <c r="C54" s="8">
        <v>217223</v>
      </c>
      <c r="D54" s="8">
        <v>114249</v>
      </c>
      <c r="E54" s="153">
        <v>117276.26300000001</v>
      </c>
      <c r="F54" s="34">
        <f>'17'!E54/'17'!E$76</f>
        <v>0.1636793651470087</v>
      </c>
      <c r="G54" s="47">
        <v>75</v>
      </c>
      <c r="H54" s="48">
        <v>189128</v>
      </c>
      <c r="I54" s="48">
        <v>104219</v>
      </c>
      <c r="J54" s="163">
        <v>103026.284</v>
      </c>
      <c r="K54" s="50">
        <f>'17'!J54/'17'!J$76</f>
        <v>0.16480166928949594</v>
      </c>
      <c r="L54" s="129">
        <v>22</v>
      </c>
      <c r="M54" s="130">
        <v>34462</v>
      </c>
      <c r="N54" s="130">
        <v>21973</v>
      </c>
      <c r="O54" s="170">
        <v>25184.571281999997</v>
      </c>
      <c r="P54" s="132">
        <f>'17'!O54/'17'!O$76</f>
        <v>4.3865276303341139E-2</v>
      </c>
    </row>
    <row r="55" spans="1:16" x14ac:dyDescent="0.2">
      <c r="A55" s="115" t="str">
        <f>$A$15</f>
        <v>De 3,00 à 3,49 %</v>
      </c>
      <c r="B55" s="33">
        <v>384</v>
      </c>
      <c r="C55" s="8">
        <v>551132</v>
      </c>
      <c r="D55" s="8">
        <v>191335</v>
      </c>
      <c r="E55" s="153">
        <v>178354.75700000001</v>
      </c>
      <c r="F55" s="34">
        <f>'17'!E55/'17'!E$76</f>
        <v>0.24892499684023023</v>
      </c>
      <c r="G55" s="47">
        <v>339</v>
      </c>
      <c r="H55" s="48">
        <v>476073</v>
      </c>
      <c r="I55" s="48">
        <v>177654</v>
      </c>
      <c r="J55" s="163">
        <v>159956.78400000001</v>
      </c>
      <c r="K55" s="50">
        <f>'17'!J55/'17'!J$76</f>
        <v>0.25586815319262934</v>
      </c>
      <c r="L55" s="129">
        <v>180</v>
      </c>
      <c r="M55" s="130">
        <v>221829</v>
      </c>
      <c r="N55" s="130">
        <v>95418</v>
      </c>
      <c r="O55" s="170">
        <v>73199.820685999977</v>
      </c>
      <c r="P55" s="132">
        <f>'17'!O55/'17'!O$76</f>
        <v>0.12749593089326647</v>
      </c>
    </row>
    <row r="56" spans="1:16" x14ac:dyDescent="0.2">
      <c r="A56" s="115" t="str">
        <f>$A$16</f>
        <v>De 3,50 à 3,99 %</v>
      </c>
      <c r="B56" s="33">
        <v>368</v>
      </c>
      <c r="C56" s="8">
        <v>720784</v>
      </c>
      <c r="D56" s="8">
        <v>193809</v>
      </c>
      <c r="E56" s="153">
        <v>175195.56</v>
      </c>
      <c r="F56" s="34">
        <f>'17'!E56/'17'!E$76</f>
        <v>0.24451578950272887</v>
      </c>
      <c r="G56" s="47">
        <v>429</v>
      </c>
      <c r="H56" s="48">
        <v>699295</v>
      </c>
      <c r="I56" s="48">
        <v>203742</v>
      </c>
      <c r="J56" s="163">
        <v>167101.48499999999</v>
      </c>
      <c r="K56" s="50">
        <f>'17'!J56/'17'!J$76</f>
        <v>0.26729687415255765</v>
      </c>
      <c r="L56" s="129">
        <v>375</v>
      </c>
      <c r="M56" s="130">
        <v>543156</v>
      </c>
      <c r="N56" s="130">
        <v>237579.00000000003</v>
      </c>
      <c r="O56" s="170">
        <v>203170.65023499989</v>
      </c>
      <c r="P56" s="132">
        <f>'17'!O56/'17'!O$76</f>
        <v>0.35387287754457286</v>
      </c>
    </row>
    <row r="57" spans="1:16" ht="12.75" customHeight="1" x14ac:dyDescent="0.2">
      <c r="A57" s="115" t="str">
        <f>$A$17</f>
        <v>De 4,00 à 4,49 %</v>
      </c>
      <c r="B57" s="33">
        <v>141</v>
      </c>
      <c r="C57" s="8">
        <v>298286</v>
      </c>
      <c r="D57" s="8">
        <v>68135</v>
      </c>
      <c r="E57" s="153">
        <v>58554.438999999998</v>
      </c>
      <c r="F57" s="34">
        <f>'17'!E57/'17'!E$76</f>
        <v>8.1722875174315937E-2</v>
      </c>
      <c r="G57" s="47">
        <v>203</v>
      </c>
      <c r="H57" s="48">
        <v>310358</v>
      </c>
      <c r="I57" s="48">
        <v>83425</v>
      </c>
      <c r="J57" s="163">
        <v>71150.248999999996</v>
      </c>
      <c r="K57" s="50">
        <f>'17'!J57/'17'!J$76</f>
        <v>0.11381250832615966</v>
      </c>
      <c r="L57" s="129">
        <v>323</v>
      </c>
      <c r="M57" s="130">
        <v>320681</v>
      </c>
      <c r="N57" s="130">
        <v>116327</v>
      </c>
      <c r="O57" s="170">
        <v>75280.65217700004</v>
      </c>
      <c r="P57" s="132">
        <f>'17'!O57/'17'!O$76</f>
        <v>0.13112022321380515</v>
      </c>
    </row>
    <row r="58" spans="1:16" ht="12.75" customHeight="1" x14ac:dyDescent="0.2">
      <c r="A58" s="115" t="str">
        <f>$A$18</f>
        <v>4,50 % et plus</v>
      </c>
      <c r="B58" s="33">
        <v>249</v>
      </c>
      <c r="C58" s="8">
        <v>499873</v>
      </c>
      <c r="D58" s="8">
        <v>66878</v>
      </c>
      <c r="E58" s="153">
        <v>50586.406999999999</v>
      </c>
      <c r="F58" s="34">
        <f>'17'!E58/'17'!E$76</f>
        <v>7.0602104560819751E-2</v>
      </c>
      <c r="G58" s="47">
        <v>344</v>
      </c>
      <c r="H58" s="48">
        <v>496034</v>
      </c>
      <c r="I58" s="48">
        <v>68224</v>
      </c>
      <c r="J58" s="163">
        <v>47613.911999999997</v>
      </c>
      <c r="K58" s="50">
        <f>'17'!J58/'17'!J$76</f>
        <v>7.6163595097763229E-2</v>
      </c>
      <c r="L58" s="129">
        <v>553</v>
      </c>
      <c r="M58" s="130">
        <v>892527</v>
      </c>
      <c r="N58" s="130">
        <v>162103</v>
      </c>
      <c r="O58" s="170">
        <v>116193.54856800011</v>
      </c>
      <c r="P58" s="132">
        <f>'17'!O58/'17'!O$76</f>
        <v>0.20238034054778051</v>
      </c>
    </row>
    <row r="59" spans="1:16" ht="12.75" hidden="1" customHeight="1" x14ac:dyDescent="0.2">
      <c r="A59" s="115">
        <f>$A$19</f>
        <v>0</v>
      </c>
      <c r="B59" s="33"/>
      <c r="C59" s="8"/>
      <c r="D59" s="8"/>
      <c r="E59" s="153"/>
      <c r="F59" s="34"/>
      <c r="G59" s="47"/>
      <c r="H59" s="48"/>
      <c r="I59" s="48"/>
      <c r="J59" s="163"/>
      <c r="K59" s="50"/>
      <c r="L59" s="129"/>
      <c r="M59" s="130"/>
      <c r="N59" s="130"/>
      <c r="O59" s="170"/>
      <c r="P59" s="132"/>
    </row>
    <row r="60" spans="1:16" ht="12.75" hidden="1" customHeight="1" x14ac:dyDescent="0.2">
      <c r="A60" s="115">
        <f>$A$20</f>
        <v>0</v>
      </c>
      <c r="B60" s="33"/>
      <c r="C60" s="8"/>
      <c r="D60" s="8"/>
      <c r="E60" s="153"/>
      <c r="F60" s="34"/>
      <c r="G60" s="47"/>
      <c r="H60" s="48"/>
      <c r="I60" s="48"/>
      <c r="J60" s="163"/>
      <c r="K60" s="50"/>
      <c r="L60" s="129"/>
      <c r="M60" s="130"/>
      <c r="N60" s="130"/>
      <c r="O60" s="170"/>
      <c r="P60" s="132"/>
    </row>
    <row r="61" spans="1:16" ht="12.75" hidden="1" customHeight="1" x14ac:dyDescent="0.2">
      <c r="A61" s="115">
        <f>$A$21</f>
        <v>0</v>
      </c>
      <c r="B61" s="33"/>
      <c r="C61" s="8"/>
      <c r="D61" s="8"/>
      <c r="E61" s="153"/>
      <c r="F61" s="34"/>
      <c r="G61" s="47"/>
      <c r="H61" s="48"/>
      <c r="I61" s="48"/>
      <c r="J61" s="163"/>
      <c r="K61" s="50"/>
      <c r="L61" s="129"/>
      <c r="M61" s="130"/>
      <c r="N61" s="130"/>
      <c r="O61" s="170"/>
      <c r="P61" s="132"/>
    </row>
    <row r="62" spans="1:16" ht="12.75" hidden="1" customHeight="1" x14ac:dyDescent="0.2">
      <c r="A62" s="115">
        <f>$A$22</f>
        <v>0</v>
      </c>
      <c r="B62" s="33"/>
      <c r="C62" s="8"/>
      <c r="D62" s="8"/>
      <c r="E62" s="153"/>
      <c r="F62" s="34"/>
      <c r="G62" s="47"/>
      <c r="H62" s="48"/>
      <c r="I62" s="48"/>
      <c r="J62" s="163"/>
      <c r="K62" s="50"/>
      <c r="L62" s="129"/>
      <c r="M62" s="130"/>
      <c r="N62" s="130"/>
      <c r="O62" s="170"/>
      <c r="P62" s="132"/>
    </row>
    <row r="63" spans="1:16" ht="12.75" hidden="1" customHeight="1" x14ac:dyDescent="0.2">
      <c r="A63" s="115">
        <f>$A$23</f>
        <v>0</v>
      </c>
      <c r="B63" s="33"/>
      <c r="C63" s="8"/>
      <c r="D63" s="8"/>
      <c r="E63" s="153"/>
      <c r="F63" s="34"/>
      <c r="G63" s="47"/>
      <c r="H63" s="48"/>
      <c r="I63" s="48"/>
      <c r="J63" s="163"/>
      <c r="K63" s="50"/>
      <c r="L63" s="129"/>
      <c r="M63" s="130"/>
      <c r="N63" s="130"/>
      <c r="O63" s="170"/>
      <c r="P63" s="132"/>
    </row>
    <row r="64" spans="1:16" ht="12.75" hidden="1" customHeight="1" x14ac:dyDescent="0.2">
      <c r="A64" s="115">
        <f>$A$24</f>
        <v>0</v>
      </c>
      <c r="B64" s="33"/>
      <c r="C64" s="8"/>
      <c r="D64" s="8"/>
      <c r="E64" s="153"/>
      <c r="F64" s="34"/>
      <c r="G64" s="47"/>
      <c r="H64" s="48"/>
      <c r="I64" s="48"/>
      <c r="J64" s="163"/>
      <c r="K64" s="50"/>
      <c r="L64" s="129"/>
      <c r="M64" s="130"/>
      <c r="N64" s="130"/>
      <c r="O64" s="170"/>
      <c r="P64" s="132"/>
    </row>
    <row r="65" spans="1:16" ht="12.75" hidden="1" customHeight="1" x14ac:dyDescent="0.2">
      <c r="A65" s="115">
        <f>$A$25</f>
        <v>0</v>
      </c>
      <c r="B65" s="33"/>
      <c r="C65" s="8"/>
      <c r="D65" s="8"/>
      <c r="E65" s="153"/>
      <c r="F65" s="34"/>
      <c r="G65" s="47"/>
      <c r="H65" s="48"/>
      <c r="I65" s="48"/>
      <c r="J65" s="163"/>
      <c r="K65" s="50"/>
      <c r="L65" s="129"/>
      <c r="M65" s="130"/>
      <c r="N65" s="130"/>
      <c r="O65" s="170"/>
      <c r="P65" s="132"/>
    </row>
    <row r="66" spans="1:16" ht="12.75" hidden="1" customHeight="1" x14ac:dyDescent="0.2">
      <c r="A66" s="115">
        <f>$A$26</f>
        <v>0</v>
      </c>
      <c r="B66" s="33"/>
      <c r="C66" s="8"/>
      <c r="D66" s="8"/>
      <c r="E66" s="153"/>
      <c r="F66" s="34"/>
      <c r="G66" s="47"/>
      <c r="H66" s="48"/>
      <c r="I66" s="48"/>
      <c r="J66" s="163"/>
      <c r="K66" s="50"/>
      <c r="L66" s="129"/>
      <c r="M66" s="130"/>
      <c r="N66" s="130"/>
      <c r="O66" s="170"/>
      <c r="P66" s="132"/>
    </row>
    <row r="67" spans="1:16" ht="12.75" hidden="1" customHeight="1" x14ac:dyDescent="0.2">
      <c r="A67" s="115">
        <f>$A$27</f>
        <v>0</v>
      </c>
      <c r="B67" s="33"/>
      <c r="C67" s="8"/>
      <c r="D67" s="8"/>
      <c r="E67" s="153"/>
      <c r="F67" s="34"/>
      <c r="G67" s="47"/>
      <c r="H67" s="48"/>
      <c r="I67" s="48"/>
      <c r="J67" s="163"/>
      <c r="K67" s="50"/>
      <c r="L67" s="129"/>
      <c r="M67" s="130"/>
      <c r="N67" s="130"/>
      <c r="O67" s="170"/>
      <c r="P67" s="132"/>
    </row>
    <row r="68" spans="1:16" ht="12.75" hidden="1" customHeight="1" x14ac:dyDescent="0.2">
      <c r="A68" s="115">
        <f>$A$28</f>
        <v>0</v>
      </c>
      <c r="B68" s="33"/>
      <c r="C68" s="8"/>
      <c r="D68" s="8"/>
      <c r="E68" s="153"/>
      <c r="F68" s="34"/>
      <c r="G68" s="47"/>
      <c r="H68" s="48"/>
      <c r="I68" s="48"/>
      <c r="J68" s="163"/>
      <c r="K68" s="50"/>
      <c r="L68" s="129"/>
      <c r="M68" s="130"/>
      <c r="N68" s="130"/>
      <c r="O68" s="170"/>
      <c r="P68" s="132"/>
    </row>
    <row r="69" spans="1:16" ht="12.75" hidden="1" customHeight="1" x14ac:dyDescent="0.2">
      <c r="A69" s="115">
        <f>$A$29</f>
        <v>0</v>
      </c>
      <c r="B69" s="33"/>
      <c r="C69" s="8"/>
      <c r="D69" s="8"/>
      <c r="E69" s="153"/>
      <c r="F69" s="34"/>
      <c r="G69" s="47"/>
      <c r="H69" s="48"/>
      <c r="I69" s="48"/>
      <c r="J69" s="163"/>
      <c r="K69" s="50"/>
      <c r="L69" s="129"/>
      <c r="M69" s="130"/>
      <c r="N69" s="130"/>
      <c r="O69" s="170"/>
      <c r="P69" s="132"/>
    </row>
    <row r="70" spans="1:16" ht="12.75" hidden="1" customHeight="1" x14ac:dyDescent="0.2">
      <c r="A70" s="115">
        <f>$A$30</f>
        <v>0</v>
      </c>
      <c r="B70" s="33"/>
      <c r="C70" s="8"/>
      <c r="D70" s="8"/>
      <c r="E70" s="153"/>
      <c r="F70" s="34"/>
      <c r="G70" s="47"/>
      <c r="H70" s="48"/>
      <c r="I70" s="48"/>
      <c r="J70" s="163"/>
      <c r="K70" s="50"/>
      <c r="L70" s="129"/>
      <c r="M70" s="130"/>
      <c r="N70" s="130"/>
      <c r="O70" s="170"/>
      <c r="P70" s="132"/>
    </row>
    <row r="71" spans="1:16" ht="12.75" hidden="1" customHeight="1" x14ac:dyDescent="0.2">
      <c r="A71" s="115">
        <f>$A$31</f>
        <v>0</v>
      </c>
      <c r="B71" s="33"/>
      <c r="C71" s="8"/>
      <c r="D71" s="8"/>
      <c r="E71" s="153"/>
      <c r="F71" s="34"/>
      <c r="G71" s="47"/>
      <c r="H71" s="48"/>
      <c r="I71" s="48"/>
      <c r="J71" s="163"/>
      <c r="K71" s="50"/>
      <c r="L71" s="129"/>
      <c r="M71" s="130"/>
      <c r="N71" s="130"/>
      <c r="O71" s="170"/>
      <c r="P71" s="132"/>
    </row>
    <row r="72" spans="1:16" ht="12.75" hidden="1" customHeight="1" x14ac:dyDescent="0.2">
      <c r="A72" s="115">
        <f>$A$32</f>
        <v>0</v>
      </c>
      <c r="B72" s="33"/>
      <c r="C72" s="8"/>
      <c r="D72" s="8"/>
      <c r="E72" s="153"/>
      <c r="F72" s="34"/>
      <c r="G72" s="47"/>
      <c r="H72" s="48"/>
      <c r="I72" s="48"/>
      <c r="J72" s="163"/>
      <c r="K72" s="50"/>
      <c r="L72" s="129"/>
      <c r="M72" s="130"/>
      <c r="N72" s="130"/>
      <c r="O72" s="170"/>
      <c r="P72" s="132"/>
    </row>
    <row r="73" spans="1:16" ht="12.75" hidden="1" customHeight="1" x14ac:dyDescent="0.2">
      <c r="A73" s="115">
        <f>$A$33</f>
        <v>0</v>
      </c>
      <c r="B73" s="33"/>
      <c r="C73" s="8"/>
      <c r="D73" s="8"/>
      <c r="E73" s="153"/>
      <c r="F73" s="34"/>
      <c r="G73" s="47"/>
      <c r="H73" s="48"/>
      <c r="I73" s="48"/>
      <c r="J73" s="163"/>
      <c r="K73" s="50"/>
      <c r="L73" s="129"/>
      <c r="M73" s="130"/>
      <c r="N73" s="130"/>
      <c r="O73" s="170"/>
      <c r="P73" s="132"/>
    </row>
    <row r="74" spans="1:16" ht="12.75" hidden="1" customHeight="1" x14ac:dyDescent="0.2">
      <c r="A74" s="115">
        <f>$A$34</f>
        <v>0</v>
      </c>
      <c r="B74" s="33"/>
      <c r="C74" s="8"/>
      <c r="D74" s="8"/>
      <c r="E74" s="153"/>
      <c r="F74" s="34"/>
      <c r="G74" s="47"/>
      <c r="H74" s="48"/>
      <c r="I74" s="48"/>
      <c r="J74" s="163"/>
      <c r="K74" s="50"/>
      <c r="L74" s="129"/>
      <c r="M74" s="130"/>
      <c r="N74" s="130"/>
      <c r="O74" s="170"/>
      <c r="P74" s="132"/>
    </row>
    <row r="75" spans="1:16" ht="12.75" hidden="1" customHeight="1" x14ac:dyDescent="0.2">
      <c r="B75" s="33"/>
      <c r="C75" s="8"/>
      <c r="D75" s="8"/>
      <c r="E75" s="153"/>
      <c r="F75" s="34"/>
      <c r="G75" s="47"/>
      <c r="H75" s="48"/>
      <c r="I75" s="48"/>
      <c r="J75" s="163"/>
      <c r="K75" s="50"/>
      <c r="L75" s="129"/>
      <c r="M75" s="130"/>
      <c r="N75" s="130"/>
      <c r="O75" s="170"/>
      <c r="P75" s="132"/>
    </row>
    <row r="76" spans="1:16" x14ac:dyDescent="0.2">
      <c r="A76" s="116" t="s">
        <v>2</v>
      </c>
      <c r="B76" s="35">
        <f>SUM(B$52:B$75)</f>
        <v>1802</v>
      </c>
      <c r="C76" s="9">
        <f>SUM(C$52:C$75)</f>
        <v>3664657</v>
      </c>
      <c r="D76" s="9">
        <f>SUM(D$52:D$75)</f>
        <v>714906</v>
      </c>
      <c r="E76" s="154">
        <f>SUM(E$52:E$75)</f>
        <v>716499.98700000008</v>
      </c>
      <c r="F76" s="67">
        <f t="shared" ref="F76:J76" si="3">SUM(F$52:F$75)</f>
        <v>1</v>
      </c>
      <c r="G76" s="51">
        <f t="shared" si="3"/>
        <v>1847</v>
      </c>
      <c r="H76" s="68">
        <f t="shared" si="3"/>
        <v>3574632</v>
      </c>
      <c r="I76" s="68">
        <f t="shared" si="3"/>
        <v>783627</v>
      </c>
      <c r="J76" s="164">
        <f t="shared" si="3"/>
        <v>625153.15799999994</v>
      </c>
      <c r="K76" s="69">
        <f t="shared" ref="K76:O76" si="4">SUM(K$52:K$75)</f>
        <v>1</v>
      </c>
      <c r="L76" s="133">
        <f t="shared" si="4"/>
        <v>1796</v>
      </c>
      <c r="M76" s="134">
        <f t="shared" si="4"/>
        <v>3315149</v>
      </c>
      <c r="N76" s="134">
        <f t="shared" si="4"/>
        <v>755701</v>
      </c>
      <c r="O76" s="171">
        <f t="shared" si="4"/>
        <v>574134.56392800005</v>
      </c>
      <c r="P76" s="136">
        <f>SUM(P$52:P$75)</f>
        <v>1</v>
      </c>
    </row>
    <row r="79" spans="1:16" ht="12.75" hidden="1" customHeight="1" x14ac:dyDescent="0.2"/>
    <row r="80" spans="1:16" ht="12.75" hidden="1" customHeight="1" x14ac:dyDescent="0.2"/>
    <row r="81" spans="1:16" ht="12.75" hidden="1" customHeight="1" x14ac:dyDescent="0.2"/>
    <row r="82" spans="1:16" ht="12.75" hidden="1" customHeight="1" x14ac:dyDescent="0.2"/>
    <row r="83" spans="1:16" ht="12.75" hidden="1" customHeight="1" x14ac:dyDescent="0.2"/>
    <row r="84" spans="1:16" ht="12.75" hidden="1" customHeight="1" x14ac:dyDescent="0.2"/>
    <row r="85" spans="1:16" ht="12.75" hidden="1" customHeight="1" x14ac:dyDescent="0.2"/>
    <row r="86" spans="1:16" ht="12.75" hidden="1" customHeight="1" x14ac:dyDescent="0.2"/>
    <row r="87" spans="1:16" ht="12.75" hidden="1" customHeight="1" x14ac:dyDescent="0.2"/>
    <row r="88" spans="1:16" ht="12.75" hidden="1" customHeight="1" x14ac:dyDescent="0.2"/>
    <row r="89" spans="1:16" ht="12.75" hidden="1" customHeight="1" x14ac:dyDescent="0.2"/>
    <row r="91" spans="1:16" x14ac:dyDescent="0.2">
      <c r="A91" s="118" t="str">
        <f>Translation!$A$30</f>
        <v>institutions de prévoyance avec garantie étatique</v>
      </c>
    </row>
    <row r="92" spans="1:16" x14ac:dyDescent="0.2">
      <c r="A92" s="115" t="str">
        <f>$A$12</f>
        <v>Assurance / Prestations sous forme de capital</v>
      </c>
      <c r="B92" s="36">
        <v>0</v>
      </c>
      <c r="C92" s="10">
        <v>0</v>
      </c>
      <c r="D92" s="10">
        <v>0</v>
      </c>
      <c r="E92" s="155">
        <v>0</v>
      </c>
      <c r="F92" s="37">
        <f>'17'!E92/'17'!E$116</f>
        <v>0</v>
      </c>
      <c r="G92" s="53">
        <v>3</v>
      </c>
      <c r="H92" s="54">
        <v>988</v>
      </c>
      <c r="I92" s="54">
        <v>454</v>
      </c>
      <c r="J92" s="165">
        <v>109.89400000000001</v>
      </c>
      <c r="K92" s="56">
        <f>'17'!J92/'17'!J$116</f>
        <v>1.0462150608757618E-3</v>
      </c>
      <c r="L92" s="137">
        <v>3</v>
      </c>
      <c r="M92" s="138">
        <v>10333</v>
      </c>
      <c r="N92" s="138">
        <v>1779</v>
      </c>
      <c r="O92" s="172">
        <v>1204.7690000000002</v>
      </c>
      <c r="P92" s="140">
        <f>'17'!O92/'17'!O$116</f>
        <v>1.219899386287249E-2</v>
      </c>
    </row>
    <row r="93" spans="1:16" x14ac:dyDescent="0.2">
      <c r="A93" s="115" t="str">
        <f>$A$13</f>
        <v>Moins de 2,50 %</v>
      </c>
      <c r="B93" s="36">
        <v>0</v>
      </c>
      <c r="C93" s="10">
        <v>0</v>
      </c>
      <c r="D93" s="10">
        <v>0</v>
      </c>
      <c r="E93" s="155">
        <v>0</v>
      </c>
      <c r="F93" s="37">
        <f>'17'!E93/'17'!E$116</f>
        <v>0</v>
      </c>
      <c r="G93" s="53">
        <v>0</v>
      </c>
      <c r="H93" s="54">
        <v>0</v>
      </c>
      <c r="I93" s="54">
        <v>0</v>
      </c>
      <c r="J93" s="165">
        <v>0</v>
      </c>
      <c r="K93" s="56">
        <f>'17'!J93/'17'!J$116</f>
        <v>0</v>
      </c>
      <c r="L93" s="137">
        <v>0</v>
      </c>
      <c r="M93" s="138">
        <v>0</v>
      </c>
      <c r="N93" s="138">
        <v>0</v>
      </c>
      <c r="O93" s="172">
        <v>0</v>
      </c>
      <c r="P93" s="140">
        <f>'17'!O93/'17'!O$116</f>
        <v>0</v>
      </c>
    </row>
    <row r="94" spans="1:16" x14ac:dyDescent="0.2">
      <c r="A94" s="115" t="str">
        <f>$A$14</f>
        <v>De 2,50 à 2,99 %</v>
      </c>
      <c r="B94" s="36">
        <v>0</v>
      </c>
      <c r="C94" s="10">
        <v>0</v>
      </c>
      <c r="D94" s="10">
        <v>0</v>
      </c>
      <c r="E94" s="155">
        <v>0</v>
      </c>
      <c r="F94" s="37">
        <f>'17'!E94/'17'!E$116</f>
        <v>0</v>
      </c>
      <c r="G94" s="53">
        <v>0</v>
      </c>
      <c r="H94" s="54">
        <v>0</v>
      </c>
      <c r="I94" s="54">
        <v>0</v>
      </c>
      <c r="J94" s="165">
        <v>0</v>
      </c>
      <c r="K94" s="56">
        <f>'17'!J94/'17'!J$116</f>
        <v>0</v>
      </c>
      <c r="L94" s="137">
        <v>0</v>
      </c>
      <c r="M94" s="138">
        <v>0</v>
      </c>
      <c r="N94" s="138">
        <v>0</v>
      </c>
      <c r="O94" s="172">
        <v>0</v>
      </c>
      <c r="P94" s="140">
        <f>'17'!O94/'17'!O$116</f>
        <v>0</v>
      </c>
    </row>
    <row r="95" spans="1:16" x14ac:dyDescent="0.2">
      <c r="A95" s="115" t="str">
        <f>$A$15</f>
        <v>De 3,00 à 3,49 %</v>
      </c>
      <c r="B95" s="36">
        <v>9</v>
      </c>
      <c r="C95" s="10">
        <v>53627</v>
      </c>
      <c r="D95" s="10">
        <v>23766</v>
      </c>
      <c r="E95" s="155">
        <v>16737.124</v>
      </c>
      <c r="F95" s="37">
        <f>'17'!E95/'17'!E$116</f>
        <v>0.15850377484687125</v>
      </c>
      <c r="G95" s="53">
        <v>5</v>
      </c>
      <c r="H95" s="54">
        <v>38802</v>
      </c>
      <c r="I95" s="54">
        <v>14442</v>
      </c>
      <c r="J95" s="165">
        <v>11586.257</v>
      </c>
      <c r="K95" s="56">
        <f>'17'!J95/'17'!J$116</f>
        <v>0.11030371605890421</v>
      </c>
      <c r="L95" s="137">
        <v>2</v>
      </c>
      <c r="M95" s="138">
        <v>40555</v>
      </c>
      <c r="N95" s="138">
        <v>14060</v>
      </c>
      <c r="O95" s="172">
        <v>11308.404999999999</v>
      </c>
      <c r="P95" s="140">
        <f>'17'!O95/'17'!O$116</f>
        <v>0.11450424371300767</v>
      </c>
    </row>
    <row r="96" spans="1:16" x14ac:dyDescent="0.2">
      <c r="A96" s="115" t="str">
        <f>$A$16</f>
        <v>De 3,50 à 3,99 %</v>
      </c>
      <c r="B96" s="36">
        <v>22</v>
      </c>
      <c r="C96" s="10">
        <v>198726</v>
      </c>
      <c r="D96" s="10">
        <v>89365</v>
      </c>
      <c r="E96" s="155">
        <v>56397.906999999999</v>
      </c>
      <c r="F96" s="37">
        <f>'17'!E96/'17'!E$116</f>
        <v>0.53409899771088409</v>
      </c>
      <c r="G96" s="53">
        <v>29</v>
      </c>
      <c r="H96" s="54">
        <v>218151</v>
      </c>
      <c r="I96" s="54">
        <v>100075</v>
      </c>
      <c r="J96" s="165">
        <v>62102.146000000001</v>
      </c>
      <c r="K96" s="56">
        <f>'17'!J96/'17'!J$116</f>
        <v>0.59122609476318488</v>
      </c>
      <c r="L96" s="137">
        <v>21</v>
      </c>
      <c r="M96" s="138">
        <v>106542</v>
      </c>
      <c r="N96" s="138">
        <v>45748</v>
      </c>
      <c r="O96" s="172">
        <v>27179.875115000003</v>
      </c>
      <c r="P96" s="140">
        <f>'17'!O96/'17'!O$116</f>
        <v>0.27521220227406723</v>
      </c>
    </row>
    <row r="97" spans="1:16" ht="12.75" customHeight="1" x14ac:dyDescent="0.2">
      <c r="A97" s="115" t="str">
        <f>$A$17</f>
        <v>De 4,00 à 4,49 %</v>
      </c>
      <c r="B97" s="36">
        <v>11</v>
      </c>
      <c r="C97" s="10">
        <v>86637</v>
      </c>
      <c r="D97" s="10">
        <v>40673</v>
      </c>
      <c r="E97" s="155">
        <v>32432.447</v>
      </c>
      <c r="F97" s="37">
        <f>'17'!E97/'17'!E$116</f>
        <v>0.3071414943822538</v>
      </c>
      <c r="G97" s="53">
        <v>20</v>
      </c>
      <c r="H97" s="54">
        <v>99123</v>
      </c>
      <c r="I97" s="54">
        <v>44435</v>
      </c>
      <c r="J97" s="165">
        <v>30887.013999999999</v>
      </c>
      <c r="K97" s="56">
        <f>'17'!J97/'17'!J$116</f>
        <v>0.29405116960234867</v>
      </c>
      <c r="L97" s="137">
        <v>31</v>
      </c>
      <c r="M97" s="138">
        <v>211627</v>
      </c>
      <c r="N97" s="138">
        <v>88697</v>
      </c>
      <c r="O97" s="172">
        <v>56035.283000000003</v>
      </c>
      <c r="P97" s="140">
        <f>'17'!O97/'17'!O$116</f>
        <v>0.56739015813099702</v>
      </c>
    </row>
    <row r="98" spans="1:16" ht="12.75" customHeight="1" x14ac:dyDescent="0.2">
      <c r="A98" s="115" t="str">
        <f>$A$18</f>
        <v>4,50 % et plus</v>
      </c>
      <c r="B98" s="36">
        <v>1</v>
      </c>
      <c r="C98" s="10">
        <v>390</v>
      </c>
      <c r="D98" s="10">
        <v>108</v>
      </c>
      <c r="E98" s="155">
        <v>27.004000000000001</v>
      </c>
      <c r="F98" s="37">
        <f>'17'!E98/'17'!E$116</f>
        <v>2.557330599907673E-4</v>
      </c>
      <c r="G98" s="53">
        <v>1</v>
      </c>
      <c r="H98" s="54">
        <v>1052</v>
      </c>
      <c r="I98" s="54">
        <v>299</v>
      </c>
      <c r="J98" s="165">
        <v>354.27800000000002</v>
      </c>
      <c r="K98" s="56">
        <f>'17'!J98/'17'!J$116</f>
        <v>3.3728045146863626E-3</v>
      </c>
      <c r="L98" s="137">
        <v>9</v>
      </c>
      <c r="M98" s="138">
        <v>16292</v>
      </c>
      <c r="N98" s="138">
        <v>4960</v>
      </c>
      <c r="O98" s="172">
        <v>3031.37</v>
      </c>
      <c r="P98" s="140">
        <f>'17'!O98/'17'!O$116</f>
        <v>3.0694402019055746E-2</v>
      </c>
    </row>
    <row r="99" spans="1:16" ht="12.75" hidden="1" customHeight="1" x14ac:dyDescent="0.2">
      <c r="A99" s="115">
        <f>$A$19</f>
        <v>0</v>
      </c>
      <c r="B99" s="36"/>
      <c r="C99" s="10"/>
      <c r="D99" s="10"/>
      <c r="E99" s="155"/>
      <c r="F99" s="37"/>
      <c r="G99" s="53"/>
      <c r="H99" s="54"/>
      <c r="I99" s="54"/>
      <c r="J99" s="165"/>
      <c r="K99" s="56"/>
      <c r="L99" s="137"/>
      <c r="M99" s="138"/>
      <c r="N99" s="138"/>
      <c r="O99" s="172"/>
      <c r="P99" s="140"/>
    </row>
    <row r="100" spans="1:16" ht="12.75" hidden="1" customHeight="1" x14ac:dyDescent="0.2">
      <c r="A100" s="115">
        <f>$A$20</f>
        <v>0</v>
      </c>
      <c r="B100" s="36"/>
      <c r="C100" s="10"/>
      <c r="D100" s="10"/>
      <c r="E100" s="155"/>
      <c r="F100" s="37"/>
      <c r="G100" s="53"/>
      <c r="H100" s="54"/>
      <c r="I100" s="54"/>
      <c r="J100" s="165"/>
      <c r="K100" s="56"/>
      <c r="L100" s="137"/>
      <c r="M100" s="138"/>
      <c r="N100" s="138"/>
      <c r="O100" s="172"/>
      <c r="P100" s="140"/>
    </row>
    <row r="101" spans="1:16" ht="12.75" hidden="1" customHeight="1" x14ac:dyDescent="0.2">
      <c r="A101" s="115">
        <f>$A$21</f>
        <v>0</v>
      </c>
      <c r="B101" s="36"/>
      <c r="C101" s="10"/>
      <c r="D101" s="10"/>
      <c r="E101" s="155"/>
      <c r="F101" s="37"/>
      <c r="G101" s="53"/>
      <c r="H101" s="54"/>
      <c r="I101" s="54"/>
      <c r="J101" s="165"/>
      <c r="K101" s="56"/>
      <c r="L101" s="137"/>
      <c r="M101" s="138"/>
      <c r="N101" s="138"/>
      <c r="O101" s="172"/>
      <c r="P101" s="140"/>
    </row>
    <row r="102" spans="1:16" ht="12.75" hidden="1" customHeight="1" x14ac:dyDescent="0.2">
      <c r="A102" s="115">
        <f>$A$22</f>
        <v>0</v>
      </c>
      <c r="B102" s="36"/>
      <c r="C102" s="10"/>
      <c r="D102" s="10"/>
      <c r="E102" s="155"/>
      <c r="F102" s="37"/>
      <c r="G102" s="53"/>
      <c r="H102" s="54"/>
      <c r="I102" s="54"/>
      <c r="J102" s="165"/>
      <c r="K102" s="56"/>
      <c r="L102" s="137"/>
      <c r="M102" s="138"/>
      <c r="N102" s="138"/>
      <c r="O102" s="172"/>
      <c r="P102" s="140"/>
    </row>
    <row r="103" spans="1:16" ht="12.75" hidden="1" customHeight="1" x14ac:dyDescent="0.2">
      <c r="A103" s="115">
        <f>$A$23</f>
        <v>0</v>
      </c>
      <c r="B103" s="36"/>
      <c r="C103" s="10"/>
      <c r="D103" s="10"/>
      <c r="E103" s="155"/>
      <c r="F103" s="37"/>
      <c r="G103" s="53"/>
      <c r="H103" s="54"/>
      <c r="I103" s="54"/>
      <c r="J103" s="165"/>
      <c r="K103" s="56"/>
      <c r="L103" s="137"/>
      <c r="M103" s="138"/>
      <c r="N103" s="138"/>
      <c r="O103" s="172"/>
      <c r="P103" s="140"/>
    </row>
    <row r="104" spans="1:16" ht="12.75" hidden="1" customHeight="1" x14ac:dyDescent="0.2">
      <c r="A104" s="115">
        <f>$A$24</f>
        <v>0</v>
      </c>
      <c r="B104" s="36"/>
      <c r="C104" s="10"/>
      <c r="D104" s="10"/>
      <c r="E104" s="155"/>
      <c r="F104" s="37"/>
      <c r="G104" s="53"/>
      <c r="H104" s="54"/>
      <c r="I104" s="54"/>
      <c r="J104" s="165"/>
      <c r="K104" s="56"/>
      <c r="L104" s="137"/>
      <c r="M104" s="138"/>
      <c r="N104" s="138"/>
      <c r="O104" s="172"/>
      <c r="P104" s="140"/>
    </row>
    <row r="105" spans="1:16" ht="12.75" hidden="1" customHeight="1" x14ac:dyDescent="0.2">
      <c r="A105" s="115">
        <f>$A$25</f>
        <v>0</v>
      </c>
      <c r="B105" s="36"/>
      <c r="C105" s="10"/>
      <c r="D105" s="10"/>
      <c r="E105" s="155"/>
      <c r="F105" s="37"/>
      <c r="G105" s="53"/>
      <c r="H105" s="54"/>
      <c r="I105" s="54"/>
      <c r="J105" s="165"/>
      <c r="K105" s="56"/>
      <c r="L105" s="137"/>
      <c r="M105" s="138"/>
      <c r="N105" s="138"/>
      <c r="O105" s="172"/>
      <c r="P105" s="140"/>
    </row>
    <row r="106" spans="1:16" ht="12.75" hidden="1" customHeight="1" x14ac:dyDescent="0.2">
      <c r="A106" s="115">
        <f>$A$26</f>
        <v>0</v>
      </c>
      <c r="B106" s="36"/>
      <c r="C106" s="10"/>
      <c r="D106" s="10"/>
      <c r="E106" s="155"/>
      <c r="F106" s="37"/>
      <c r="G106" s="53"/>
      <c r="H106" s="54"/>
      <c r="I106" s="54"/>
      <c r="J106" s="165"/>
      <c r="K106" s="56"/>
      <c r="L106" s="137"/>
      <c r="M106" s="138"/>
      <c r="N106" s="138"/>
      <c r="O106" s="172"/>
      <c r="P106" s="140"/>
    </row>
    <row r="107" spans="1:16" ht="12.75" hidden="1" customHeight="1" x14ac:dyDescent="0.2">
      <c r="A107" s="115">
        <f>$A$27</f>
        <v>0</v>
      </c>
      <c r="B107" s="36"/>
      <c r="C107" s="10"/>
      <c r="D107" s="10"/>
      <c r="E107" s="155"/>
      <c r="F107" s="37"/>
      <c r="G107" s="53"/>
      <c r="H107" s="54"/>
      <c r="I107" s="54"/>
      <c r="J107" s="165"/>
      <c r="K107" s="56"/>
      <c r="L107" s="137"/>
      <c r="M107" s="138"/>
      <c r="N107" s="138"/>
      <c r="O107" s="172"/>
      <c r="P107" s="140"/>
    </row>
    <row r="108" spans="1:16" ht="12.75" hidden="1" customHeight="1" x14ac:dyDescent="0.2">
      <c r="A108" s="115">
        <f>$A$28</f>
        <v>0</v>
      </c>
      <c r="B108" s="36"/>
      <c r="C108" s="10"/>
      <c r="D108" s="10"/>
      <c r="E108" s="155"/>
      <c r="F108" s="37"/>
      <c r="G108" s="53"/>
      <c r="H108" s="54"/>
      <c r="I108" s="54"/>
      <c r="J108" s="165"/>
      <c r="K108" s="56"/>
      <c r="L108" s="137"/>
      <c r="M108" s="138"/>
      <c r="N108" s="138"/>
      <c r="O108" s="172"/>
      <c r="P108" s="140"/>
    </row>
    <row r="109" spans="1:16" ht="12.75" hidden="1" customHeight="1" x14ac:dyDescent="0.2">
      <c r="A109" s="115">
        <f>$A$29</f>
        <v>0</v>
      </c>
      <c r="B109" s="36"/>
      <c r="C109" s="10"/>
      <c r="D109" s="10"/>
      <c r="E109" s="155"/>
      <c r="F109" s="37"/>
      <c r="G109" s="53"/>
      <c r="H109" s="54"/>
      <c r="I109" s="54"/>
      <c r="J109" s="165"/>
      <c r="K109" s="56"/>
      <c r="L109" s="137"/>
      <c r="M109" s="138"/>
      <c r="N109" s="138"/>
      <c r="O109" s="172"/>
      <c r="P109" s="140"/>
    </row>
    <row r="110" spans="1:16" ht="12.75" hidden="1" customHeight="1" x14ac:dyDescent="0.2">
      <c r="A110" s="115">
        <f>$A$30</f>
        <v>0</v>
      </c>
      <c r="B110" s="36"/>
      <c r="C110" s="10"/>
      <c r="D110" s="10"/>
      <c r="E110" s="155"/>
      <c r="F110" s="37"/>
      <c r="G110" s="53"/>
      <c r="H110" s="54"/>
      <c r="I110" s="54"/>
      <c r="J110" s="165"/>
      <c r="K110" s="56"/>
      <c r="L110" s="137"/>
      <c r="M110" s="138"/>
      <c r="N110" s="138"/>
      <c r="O110" s="172"/>
      <c r="P110" s="140"/>
    </row>
    <row r="111" spans="1:16" ht="12.75" hidden="1" customHeight="1" x14ac:dyDescent="0.2">
      <c r="A111" s="115">
        <f>$A$31</f>
        <v>0</v>
      </c>
      <c r="B111" s="36"/>
      <c r="C111" s="10"/>
      <c r="D111" s="10"/>
      <c r="E111" s="155"/>
      <c r="F111" s="37"/>
      <c r="G111" s="53"/>
      <c r="H111" s="54"/>
      <c r="I111" s="54"/>
      <c r="J111" s="165"/>
      <c r="K111" s="56"/>
      <c r="L111" s="137"/>
      <c r="M111" s="138"/>
      <c r="N111" s="138"/>
      <c r="O111" s="172"/>
      <c r="P111" s="140"/>
    </row>
    <row r="112" spans="1:16" ht="12.75" hidden="1" customHeight="1" x14ac:dyDescent="0.2">
      <c r="A112" s="115">
        <f>$A$32</f>
        <v>0</v>
      </c>
      <c r="B112" s="36"/>
      <c r="C112" s="10"/>
      <c r="D112" s="10"/>
      <c r="E112" s="155"/>
      <c r="F112" s="37"/>
      <c r="G112" s="53"/>
      <c r="H112" s="54"/>
      <c r="I112" s="54"/>
      <c r="J112" s="165"/>
      <c r="K112" s="56"/>
      <c r="L112" s="137"/>
      <c r="M112" s="138"/>
      <c r="N112" s="138"/>
      <c r="O112" s="172"/>
      <c r="P112" s="140"/>
    </row>
    <row r="113" spans="1:16" ht="12.75" hidden="1" customHeight="1" x14ac:dyDescent="0.2">
      <c r="A113" s="115">
        <f>$A$33</f>
        <v>0</v>
      </c>
      <c r="B113" s="36"/>
      <c r="C113" s="10"/>
      <c r="D113" s="10"/>
      <c r="E113" s="155"/>
      <c r="F113" s="37"/>
      <c r="G113" s="53"/>
      <c r="H113" s="54"/>
      <c r="I113" s="54"/>
      <c r="J113" s="165"/>
      <c r="K113" s="56"/>
      <c r="L113" s="137"/>
      <c r="M113" s="138"/>
      <c r="N113" s="138"/>
      <c r="O113" s="172"/>
      <c r="P113" s="140"/>
    </row>
    <row r="114" spans="1:16" ht="12.75" hidden="1" customHeight="1" x14ac:dyDescent="0.2">
      <c r="A114" s="115">
        <f>$A$34</f>
        <v>0</v>
      </c>
      <c r="B114" s="36"/>
      <c r="C114" s="10"/>
      <c r="D114" s="10"/>
      <c r="E114" s="155"/>
      <c r="F114" s="37"/>
      <c r="G114" s="53"/>
      <c r="H114" s="54"/>
      <c r="I114" s="54"/>
      <c r="J114" s="165"/>
      <c r="K114" s="56"/>
      <c r="L114" s="137"/>
      <c r="M114" s="138"/>
      <c r="N114" s="138"/>
      <c r="O114" s="172"/>
      <c r="P114" s="140"/>
    </row>
    <row r="115" spans="1:16" ht="12.75" hidden="1" customHeight="1" x14ac:dyDescent="0.2">
      <c r="B115" s="36"/>
      <c r="C115" s="10"/>
      <c r="D115" s="10"/>
      <c r="E115" s="155"/>
      <c r="F115" s="37"/>
      <c r="G115" s="53"/>
      <c r="H115" s="54"/>
      <c r="I115" s="54"/>
      <c r="J115" s="165"/>
      <c r="K115" s="56"/>
      <c r="L115" s="137"/>
      <c r="M115" s="138"/>
      <c r="N115" s="138"/>
      <c r="O115" s="172"/>
      <c r="P115" s="140"/>
    </row>
    <row r="116" spans="1:16" x14ac:dyDescent="0.2">
      <c r="A116" s="116" t="s">
        <v>2</v>
      </c>
      <c r="B116" s="38">
        <f>SUM(B$92:B$115)</f>
        <v>43</v>
      </c>
      <c r="C116" s="11">
        <f>SUM(C$92:C$115)</f>
        <v>339380</v>
      </c>
      <c r="D116" s="11">
        <f>SUM(D$92:D$115)</f>
        <v>153912</v>
      </c>
      <c r="E116" s="156">
        <f>SUM(E$92:E$115)</f>
        <v>105594.482</v>
      </c>
      <c r="F116" s="70">
        <f t="shared" ref="F116:J116" si="5">SUM(F$92:F$115)</f>
        <v>0.99999999999999989</v>
      </c>
      <c r="G116" s="57">
        <f t="shared" si="5"/>
        <v>58</v>
      </c>
      <c r="H116" s="71">
        <f t="shared" si="5"/>
        <v>358116</v>
      </c>
      <c r="I116" s="71">
        <f t="shared" si="5"/>
        <v>159705</v>
      </c>
      <c r="J116" s="166">
        <f t="shared" si="5"/>
        <v>105039.58900000001</v>
      </c>
      <c r="K116" s="72">
        <f t="shared" ref="K116:O116" si="6">SUM(K$92:K$115)</f>
        <v>0.99999999999999989</v>
      </c>
      <c r="L116" s="141">
        <f t="shared" si="6"/>
        <v>66</v>
      </c>
      <c r="M116" s="142">
        <f t="shared" si="6"/>
        <v>385349</v>
      </c>
      <c r="N116" s="142">
        <f t="shared" si="6"/>
        <v>155244</v>
      </c>
      <c r="O116" s="173">
        <f t="shared" si="6"/>
        <v>98759.702114999993</v>
      </c>
      <c r="P116" s="144">
        <f>SUM(P$92:P$115)</f>
        <v>1.0000000000000002</v>
      </c>
    </row>
    <row r="120" spans="1:16" x14ac:dyDescent="0.2">
      <c r="A120" s="111" t="str">
        <f>Translation!$A$36</f>
        <v>somme du bilan en millions de francs</v>
      </c>
    </row>
  </sheetData>
  <mergeCells count="3">
    <mergeCell ref="B3:F3"/>
    <mergeCell ref="G3:K3"/>
    <mergeCell ref="L3:P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landscape" cellComments="atEnd" r:id="rId1"/>
  <headerFooter>
    <oddFooter>&amp;L&amp;10&amp;F / &amp;A&amp;C&amp;10&amp;P / &amp;N&amp;R&amp;10OAK BV - RM / 12.05.2015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Tabellen_2014-04-13_Korr"/>
    <f:field ref="objsubject" par="" edit="true" text=""/>
    <f:field ref="objcreatedby" par="" text="Tapernoux, André, Tae, OAK BV"/>
    <f:field ref="objcreatedat" par="" text="16.04.2014 09:01:00"/>
    <f:field ref="objchangedby" par="" text="Wüthrich, Marcel, Wum, OAK BV"/>
    <f:field ref="objmodifiedat" par="" text="28.04.2014 15:58:39"/>
    <f:field ref="doc_FSCFOLIO_1_1001_FieldDocumentNumber" par="" text=""/>
    <f:field ref="doc_FSCFOLIO_1_1001_FieldSubject" par="" edit="true" text=""/>
    <f:field ref="FSCFOLIO_1_1001_FieldCurrentUser" par="" text="Marcel Wüthrich"/>
    <f:field ref="CCAPRECONFIG_15_1001_Objektname" par="" edit="true" text="Tabellen_2014-04-13_Korr"/>
    <f:field ref="CHPRECONFIG_1_1001_Objektname" par="" edit="true" text="Tabellen_2014-04-13_Korr"/>
  </f:record>
  <f:display par="" text="...">
    <f:field ref="FSCFOLIO_1_1001_FieldCurrentUser" text="Aktueller Benutzer"/>
    <f:field ref="objsubject" text="Betreff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29</vt:i4>
      </vt:variant>
      <vt:variant>
        <vt:lpstr>Benannte Bereiche</vt:lpstr>
      </vt:variant>
      <vt:variant>
        <vt:i4>31</vt:i4>
      </vt:variant>
    </vt:vector>
  </HeadingPairs>
  <TitlesOfParts>
    <vt:vector size="60" baseType="lpstr">
      <vt:lpstr>0</vt:lpstr>
      <vt:lpstr>1</vt:lpstr>
      <vt:lpstr>2</vt:lpstr>
      <vt:lpstr>3</vt:lpstr>
      <vt:lpstr>4</vt:lpstr>
      <vt:lpstr>5</vt:lpstr>
      <vt:lpstr>15</vt:lpstr>
      <vt:lpstr>16</vt:lpstr>
      <vt:lpstr>17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31</vt:lpstr>
      <vt:lpstr>32</vt:lpstr>
      <vt:lpstr>33</vt:lpstr>
      <vt:lpstr>36</vt:lpstr>
      <vt:lpstr>37</vt:lpstr>
      <vt:lpstr>38</vt:lpstr>
      <vt:lpstr>39</vt:lpstr>
      <vt:lpstr>40</vt:lpstr>
      <vt:lpstr>Translation</vt:lpstr>
      <vt:lpstr>'0'!Drucktitel</vt:lpstr>
      <vt:lpstr>'1'!Drucktitel</vt:lpstr>
      <vt:lpstr>'15'!Drucktitel</vt:lpstr>
      <vt:lpstr>'16'!Drucktitel</vt:lpstr>
      <vt:lpstr>'17'!Drucktitel</vt:lpstr>
      <vt:lpstr>'19'!Drucktitel</vt:lpstr>
      <vt:lpstr>'2'!Drucktitel</vt:lpstr>
      <vt:lpstr>'20'!Drucktitel</vt:lpstr>
      <vt:lpstr>'21'!Drucktitel</vt:lpstr>
      <vt:lpstr>'22'!Drucktitel</vt:lpstr>
      <vt:lpstr>'23'!Drucktitel</vt:lpstr>
      <vt:lpstr>'24'!Drucktitel</vt:lpstr>
      <vt:lpstr>'25'!Drucktitel</vt:lpstr>
      <vt:lpstr>'26'!Drucktitel</vt:lpstr>
      <vt:lpstr>'27'!Drucktitel</vt:lpstr>
      <vt:lpstr>'28'!Drucktitel</vt:lpstr>
      <vt:lpstr>'29'!Drucktitel</vt:lpstr>
      <vt:lpstr>'3'!Drucktitel</vt:lpstr>
      <vt:lpstr>'31'!Drucktitel</vt:lpstr>
      <vt:lpstr>'32'!Drucktitel</vt:lpstr>
      <vt:lpstr>'33'!Drucktitel</vt:lpstr>
      <vt:lpstr>'36'!Drucktitel</vt:lpstr>
      <vt:lpstr>'37'!Drucktitel</vt:lpstr>
      <vt:lpstr>'38'!Drucktitel</vt:lpstr>
      <vt:lpstr>'39'!Drucktitel</vt:lpstr>
      <vt:lpstr>'4'!Drucktitel</vt:lpstr>
      <vt:lpstr>'40'!Drucktitel</vt:lpstr>
      <vt:lpstr>'5'!Drucktitel</vt:lpstr>
      <vt:lpstr>Translation!Drucktitel</vt:lpstr>
      <vt:lpstr>language</vt:lpstr>
      <vt:lpstr>Sprachauswahl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Wüthrich Marcel OAK-BV</dc:creator>
  <cp:lastModifiedBy>Marcel Wüthrich</cp:lastModifiedBy>
  <cp:lastPrinted>2015-05-11T18:57:18Z</cp:lastPrinted>
  <dcterms:created xsi:type="dcterms:W3CDTF">2014-03-27T14:53:26Z</dcterms:created>
  <dcterms:modified xsi:type="dcterms:W3CDTF">2015-05-12T07:45:13Z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SVTEMPL@102.1950:FileRespAmtstitel">
    <vt:lpwstr/>
  </property>
  <property fmtid="{D5CDD505-2E9C-101B-9397-08002B2CF9AE}" pid="3" name="FSC#BSVTEMPL@102.1950:FileRespAmtstitel_F">
    <vt:lpwstr/>
  </property>
  <property fmtid="{D5CDD505-2E9C-101B-9397-08002B2CF9AE}" pid="4" name="FSC#BSVTEMPL@102.1950:FileRespAmtstitel_I">
    <vt:lpwstr/>
  </property>
  <property fmtid="{D5CDD505-2E9C-101B-9397-08002B2CF9AE}" pid="5" name="FSC#BSVTEMPL@102.1950:FileRespAmtstitel_E">
    <vt:lpwstr/>
  </property>
  <property fmtid="{D5CDD505-2E9C-101B-9397-08002B2CF9AE}" pid="6" name="FSC#BSVTEMPL@102.1950:AssignmentName">
    <vt:lpwstr/>
  </property>
  <property fmtid="{D5CDD505-2E9C-101B-9397-08002B2CF9AE}" pid="7" name="FSC#BSVTEMPL@102.1950:BSVShortsign">
    <vt:lpwstr>Tae</vt:lpwstr>
  </property>
  <property fmtid="{D5CDD505-2E9C-101B-9397-08002B2CF9AE}" pid="8" name="FSC#BSVTEMPL@102.1950:DocumentID">
    <vt:lpwstr>10</vt:lpwstr>
  </property>
  <property fmtid="{D5CDD505-2E9C-101B-9397-08002B2CF9AE}" pid="9" name="FSC#BSVTEMPL@102.1950:Dossierref">
    <vt:lpwstr>063-R13</vt:lpwstr>
  </property>
  <property fmtid="{D5CDD505-2E9C-101B-9397-08002B2CF9AE}" pid="10" name="FSC#BSVTEMPL@102.1950:Oursign">
    <vt:lpwstr>063-R13 16.04.2014</vt:lpwstr>
  </property>
  <property fmtid="{D5CDD505-2E9C-101B-9397-08002B2CF9AE}" pid="11" name="FSC#BSVTEMPL@102.1950:EmpfName">
    <vt:lpwstr/>
  </property>
  <property fmtid="{D5CDD505-2E9C-101B-9397-08002B2CF9AE}" pid="12" name="FSC#BSVTEMPL@102.1950:EmpfOrt">
    <vt:lpwstr/>
  </property>
  <property fmtid="{D5CDD505-2E9C-101B-9397-08002B2CF9AE}" pid="13" name="FSC#BSVTEMPL@102.1950:EmpfPLZ">
    <vt:lpwstr/>
  </property>
  <property fmtid="{D5CDD505-2E9C-101B-9397-08002B2CF9AE}" pid="14" name="FSC#BSVTEMPL@102.1950:EmpfStrasse">
    <vt:lpwstr/>
  </property>
  <property fmtid="{D5CDD505-2E9C-101B-9397-08002B2CF9AE}" pid="15" name="FSC#BSVTEMPL@102.1950:FileRespEmail">
    <vt:lpwstr>andre.tapernoux@oak-bv.admin.ch</vt:lpwstr>
  </property>
  <property fmtid="{D5CDD505-2E9C-101B-9397-08002B2CF9AE}" pid="16" name="FSC#BSVTEMPL@102.1950:FileRespFax">
    <vt:lpwstr>+41 58 462 26 96</vt:lpwstr>
  </property>
  <property fmtid="{D5CDD505-2E9C-101B-9397-08002B2CF9AE}" pid="17" name="FSC#BSVTEMPL@102.1950:FileRespHome">
    <vt:lpwstr>Bern</vt:lpwstr>
  </property>
  <property fmtid="{D5CDD505-2E9C-101B-9397-08002B2CF9AE}" pid="18" name="FSC#BSVTEMPL@102.1950:FileRespStreet">
    <vt:lpwstr>Seilerstrasse 8</vt:lpwstr>
  </property>
  <property fmtid="{D5CDD505-2E9C-101B-9397-08002B2CF9AE}" pid="19" name="FSC#BSVTEMPL@102.1950:FileRespTel">
    <vt:lpwstr>+41 58 462 92 09</vt:lpwstr>
  </property>
  <property fmtid="{D5CDD505-2E9C-101B-9397-08002B2CF9AE}" pid="20" name="FSC#BSVTEMPL@102.1950:FileRespZipCode">
    <vt:lpwstr>3001</vt:lpwstr>
  </property>
  <property fmtid="{D5CDD505-2E9C-101B-9397-08002B2CF9AE}" pid="21" name="FSC#BSVTEMPL@102.1950:NameFileResponsible">
    <vt:lpwstr>Tapernoux</vt:lpwstr>
  </property>
  <property fmtid="{D5CDD505-2E9C-101B-9397-08002B2CF9AE}" pid="22" name="FSC#BSVTEMPL@102.1950:Shortsign">
    <vt:lpwstr>Tae</vt:lpwstr>
  </property>
  <property fmtid="{D5CDD505-2E9C-101B-9397-08002B2CF9AE}" pid="23" name="FSC#BSVTEMPL@102.1950:UserFunction">
    <vt:lpwstr/>
  </property>
  <property fmtid="{D5CDD505-2E9C-101B-9397-08002B2CF9AE}" pid="24" name="FSC#BSVTEMPL@102.1950:VornameNameFileResponsible">
    <vt:lpwstr>André</vt:lpwstr>
  </property>
  <property fmtid="{D5CDD505-2E9C-101B-9397-08002B2CF9AE}" pid="25" name="FSC#BSVTEMPL@102.1950:FileResponsible">
    <vt:lpwstr>André Tapernoux</vt:lpwstr>
  </property>
  <property fmtid="{D5CDD505-2E9C-101B-9397-08002B2CF9AE}" pid="26" name="FSC#BSVTEMPL@102.1950:FileRespOrg">
    <vt:lpwstr>Risk, OAK BV</vt:lpwstr>
  </property>
  <property fmtid="{D5CDD505-2E9C-101B-9397-08002B2CF9AE}" pid="27" name="FSC#BSVTEMPL@102.1950:FileRespOrgHome">
    <vt:lpwstr>Bern</vt:lpwstr>
  </property>
  <property fmtid="{D5CDD505-2E9C-101B-9397-08002B2CF9AE}" pid="28" name="FSC#BSVTEMPL@102.1950:FileRespOrgStreet">
    <vt:lpwstr>Seilerstrasse 8</vt:lpwstr>
  </property>
  <property fmtid="{D5CDD505-2E9C-101B-9397-08002B2CF9AE}" pid="29" name="FSC#BSVTEMPL@102.1950:FileRespOrgZipCode">
    <vt:lpwstr>3003</vt:lpwstr>
  </property>
  <property fmtid="{D5CDD505-2E9C-101B-9397-08002B2CF9AE}" pid="30" name="FSC#BSVTEMPL@102.1950:FileRespOU">
    <vt:lpwstr>Risk</vt:lpwstr>
  </property>
  <property fmtid="{D5CDD505-2E9C-101B-9397-08002B2CF9AE}" pid="31" name="FSC#BSVTEMPL@102.1950:Registrierdatum">
    <vt:lpwstr>16.04.2014 00:00:00</vt:lpwstr>
  </property>
  <property fmtid="{D5CDD505-2E9C-101B-9397-08002B2CF9AE}" pid="32" name="FSC#BSVTEMPL@102.1950:RegPlanPos">
    <vt:lpwstr/>
  </property>
  <property fmtid="{D5CDD505-2E9C-101B-9397-08002B2CF9AE}" pid="33" name="FSC#BSVTEMPL@102.1950:ShortsignCreate">
    <vt:lpwstr>Tae</vt:lpwstr>
  </property>
  <property fmtid="{D5CDD505-2E9C-101B-9397-08002B2CF9AE}" pid="34" name="FSC#BSVTEMPL@102.1950:SignApproved1">
    <vt:lpwstr/>
  </property>
  <property fmtid="{D5CDD505-2E9C-101B-9397-08002B2CF9AE}" pid="35" name="FSC#BSVTEMPL@102.1950:SignApproved2">
    <vt:lpwstr/>
  </property>
  <property fmtid="{D5CDD505-2E9C-101B-9397-08002B2CF9AE}" pid="36" name="FSC#BSVTEMPL@102.1950:SubjectSubFile">
    <vt:lpwstr>Means_Anlage_2014-04-10_Korr_x000d_
Means_Anlage_2014-04-10_Korr_x000d_
Means_all_2014-04-10_Korr_x000d_
Sanierungsmassnahmen_2014-04-10_Korr_x000d_
Means_Loehne_2014-04-10_Korr_x000d_
Means_Quantile_2014-04-10_Korr_x000d_
Means_Bilanzsumme_2014-04-10_Korr_x000d_
Means_all_2014-04-10_Korr_x000d_
Tabell</vt:lpwstr>
  </property>
  <property fmtid="{D5CDD505-2E9C-101B-9397-08002B2CF9AE}" pid="37" name="FSC#BSVTEMPL@102.1950:SubjectDocument">
    <vt:lpwstr/>
  </property>
  <property fmtid="{D5CDD505-2E9C-101B-9397-08002B2CF9AE}" pid="38" name="FSC#BSVTEMPL@102.1950:TitleDossier">
    <vt:lpwstr>Erhebung per 31.12.2013</vt:lpwstr>
  </property>
  <property fmtid="{D5CDD505-2E9C-101B-9397-08002B2CF9AE}" pid="39" name="FSC#BSVTEMPL@102.1950:ZusendungAm">
    <vt:lpwstr/>
  </property>
  <property fmtid="{D5CDD505-2E9C-101B-9397-08002B2CF9AE}" pid="40" name="FSC#EDICFG@15.1700:DossierrefSubFile">
    <vt:lpwstr>063-R13/Adressdaten</vt:lpwstr>
  </property>
  <property fmtid="{D5CDD505-2E9C-101B-9397-08002B2CF9AE}" pid="41" name="FSC#EDICFG@15.1700:UniqueSubFileNumber">
    <vt:lpwstr>20141616-0010</vt:lpwstr>
  </property>
  <property fmtid="{D5CDD505-2E9C-101B-9397-08002B2CF9AE}" pid="42" name="FSC#BSVTEMPL@102.1950:DocumentIDEnhanced">
    <vt:lpwstr>063-R13 16.04.2014 Doknr: 10</vt:lpwstr>
  </property>
  <property fmtid="{D5CDD505-2E9C-101B-9397-08002B2CF9AE}" pid="43" name="FSC#EDICFG@15.1700:FileRespInitials">
    <vt:lpwstr>Tae</vt:lpwstr>
  </property>
  <property fmtid="{D5CDD505-2E9C-101B-9397-08002B2CF9AE}" pid="44" name="FSC#EDICFG@15.1700:FileRespOrgD">
    <vt:lpwstr>Risk</vt:lpwstr>
  </property>
  <property fmtid="{D5CDD505-2E9C-101B-9397-08002B2CF9AE}" pid="45" name="FSC#EDICFG@15.1700:FileRespOrgF">
    <vt:lpwstr>Risk</vt:lpwstr>
  </property>
  <property fmtid="{D5CDD505-2E9C-101B-9397-08002B2CF9AE}" pid="46" name="FSC#EDICFG@15.1700:FileRespOrgE">
    <vt:lpwstr>Risk</vt:lpwstr>
  </property>
  <property fmtid="{D5CDD505-2E9C-101B-9397-08002B2CF9AE}" pid="47" name="FSC#EDICFG@15.1700:FileRespOrgI">
    <vt:lpwstr>Risk</vt:lpwstr>
  </property>
  <property fmtid="{D5CDD505-2E9C-101B-9397-08002B2CF9AE}" pid="48" name="FSC#EDICFG@15.1700:FileResponsibleSalutation">
    <vt:lpwstr/>
  </property>
  <property fmtid="{D5CDD505-2E9C-101B-9397-08002B2CF9AE}" pid="49" name="FSC#COOSYSTEM@1.1:Container">
    <vt:lpwstr>COO.2080.103.4.80299</vt:lpwstr>
  </property>
  <property fmtid="{D5CDD505-2E9C-101B-9397-08002B2CF9AE}" pid="50" name="FSC#COOELAK@1.1001:Subject">
    <vt:lpwstr/>
  </property>
  <property fmtid="{D5CDD505-2E9C-101B-9397-08002B2CF9AE}" pid="51" name="FSC#COOELAK@1.1001:FileReference">
    <vt:lpwstr/>
  </property>
  <property fmtid="{D5CDD505-2E9C-101B-9397-08002B2CF9AE}" pid="52" name="FSC#COOELAK@1.1001:FileRefYear">
    <vt:lpwstr>2013</vt:lpwstr>
  </property>
  <property fmtid="{D5CDD505-2E9C-101B-9397-08002B2CF9AE}" pid="53" name="FSC#COOELAK@1.1001:FileRefOrdinal">
    <vt:lpwstr>348</vt:lpwstr>
  </property>
  <property fmtid="{D5CDD505-2E9C-101B-9397-08002B2CF9AE}" pid="54" name="FSC#COOELAK@1.1001:FileRefOU">
    <vt:lpwstr/>
  </property>
  <property fmtid="{D5CDD505-2E9C-101B-9397-08002B2CF9AE}" pid="55" name="FSC#COOELAK@1.1001:Organization">
    <vt:lpwstr/>
  </property>
  <property fmtid="{D5CDD505-2E9C-101B-9397-08002B2CF9AE}" pid="56" name="FSC#COOELAK@1.1001:Owner">
    <vt:lpwstr>Tapernoux André</vt:lpwstr>
  </property>
  <property fmtid="{D5CDD505-2E9C-101B-9397-08002B2CF9AE}" pid="57" name="FSC#COOELAK@1.1001:OwnerExtension">
    <vt:lpwstr>+41 58 462 92 09</vt:lpwstr>
  </property>
  <property fmtid="{D5CDD505-2E9C-101B-9397-08002B2CF9AE}" pid="58" name="FSC#COOELAK@1.1001:OwnerFaxExtension">
    <vt:lpwstr>+41 58 462 26 96</vt:lpwstr>
  </property>
  <property fmtid="{D5CDD505-2E9C-101B-9397-08002B2CF9AE}" pid="59" name="FSC#COOELAK@1.1001:DispatchedBy">
    <vt:lpwstr/>
  </property>
  <property fmtid="{D5CDD505-2E9C-101B-9397-08002B2CF9AE}" pid="60" name="FSC#COOELAK@1.1001:DispatchedAt">
    <vt:lpwstr/>
  </property>
  <property fmtid="{D5CDD505-2E9C-101B-9397-08002B2CF9AE}" pid="61" name="FSC#COOELAK@1.1001:ApprovedBy">
    <vt:lpwstr/>
  </property>
  <property fmtid="{D5CDD505-2E9C-101B-9397-08002B2CF9AE}" pid="62" name="FSC#COOELAK@1.1001:ApprovedAt">
    <vt:lpwstr/>
  </property>
  <property fmtid="{D5CDD505-2E9C-101B-9397-08002B2CF9AE}" pid="63" name="FSC#COOELAK@1.1001:Department">
    <vt:lpwstr>Risk, OAK BV</vt:lpwstr>
  </property>
  <property fmtid="{D5CDD505-2E9C-101B-9397-08002B2CF9AE}" pid="64" name="FSC#COOELAK@1.1001:CreatedAt">
    <vt:lpwstr>16.04.2014</vt:lpwstr>
  </property>
  <property fmtid="{D5CDD505-2E9C-101B-9397-08002B2CF9AE}" pid="65" name="FSC#COOELAK@1.1001:OU">
    <vt:lpwstr>Risk, OAK BV</vt:lpwstr>
  </property>
  <property fmtid="{D5CDD505-2E9C-101B-9397-08002B2CF9AE}" pid="66" name="FSC#COOELAK@1.1001:Priority">
    <vt:lpwstr> ()</vt:lpwstr>
  </property>
  <property fmtid="{D5CDD505-2E9C-101B-9397-08002B2CF9AE}" pid="67" name="FSC#COOELAK@1.1001:ObjBarCode">
    <vt:lpwstr>*COO.2080.103.4.80299*</vt:lpwstr>
  </property>
  <property fmtid="{D5CDD505-2E9C-101B-9397-08002B2CF9AE}" pid="68" name="FSC#COOELAK@1.1001:RefBarCode">
    <vt:lpwstr>*COO.2080.103.4.80350*</vt:lpwstr>
  </property>
  <property fmtid="{D5CDD505-2E9C-101B-9397-08002B2CF9AE}" pid="69" name="FSC#COOELAK@1.1001:FileRefBarCode">
    <vt:lpwstr>*063-R13*</vt:lpwstr>
  </property>
  <property fmtid="{D5CDD505-2E9C-101B-9397-08002B2CF9AE}" pid="70" name="FSC#COOELAK@1.1001:ExternalRef">
    <vt:lpwstr/>
  </property>
  <property fmtid="{D5CDD505-2E9C-101B-9397-08002B2CF9AE}" pid="71" name="FSC#COOELAK@1.1001:IncomingNumber">
    <vt:lpwstr/>
  </property>
  <property fmtid="{D5CDD505-2E9C-101B-9397-08002B2CF9AE}" pid="72" name="FSC#COOELAK@1.1001:IncomingSubject">
    <vt:lpwstr/>
  </property>
  <property fmtid="{D5CDD505-2E9C-101B-9397-08002B2CF9AE}" pid="73" name="FSC#COOELAK@1.1001:ProcessResponsible">
    <vt:lpwstr/>
  </property>
  <property fmtid="{D5CDD505-2E9C-101B-9397-08002B2CF9AE}" pid="74" name="FSC#COOELAK@1.1001:ProcessResponsiblePhone">
    <vt:lpwstr/>
  </property>
  <property fmtid="{D5CDD505-2E9C-101B-9397-08002B2CF9AE}" pid="75" name="FSC#COOELAK@1.1001:ProcessResponsibleMail">
    <vt:lpwstr/>
  </property>
  <property fmtid="{D5CDD505-2E9C-101B-9397-08002B2CF9AE}" pid="76" name="FSC#COOELAK@1.1001:ProcessResponsibleFax">
    <vt:lpwstr/>
  </property>
  <property fmtid="{D5CDD505-2E9C-101B-9397-08002B2CF9AE}" pid="77" name="FSC#COOELAK@1.1001:ApproverFirstName">
    <vt:lpwstr/>
  </property>
  <property fmtid="{D5CDD505-2E9C-101B-9397-08002B2CF9AE}" pid="78" name="FSC#COOELAK@1.1001:ApproverSurName">
    <vt:lpwstr/>
  </property>
  <property fmtid="{D5CDD505-2E9C-101B-9397-08002B2CF9AE}" pid="79" name="FSC#COOELAK@1.1001:ApproverTitle">
    <vt:lpwstr/>
  </property>
  <property fmtid="{D5CDD505-2E9C-101B-9397-08002B2CF9AE}" pid="80" name="FSC#COOELAK@1.1001:ExternalDate">
    <vt:lpwstr/>
  </property>
  <property fmtid="{D5CDD505-2E9C-101B-9397-08002B2CF9AE}" pid="81" name="FSC#COOELAK@1.1001:SettlementApprovedAt">
    <vt:lpwstr/>
  </property>
  <property fmtid="{D5CDD505-2E9C-101B-9397-08002B2CF9AE}" pid="82" name="FSC#COOELAK@1.1001:BaseNumber">
    <vt:lpwstr>063</vt:lpwstr>
  </property>
  <property fmtid="{D5CDD505-2E9C-101B-9397-08002B2CF9AE}" pid="83" name="FSC#COOELAK@1.1001:CurrentUserRolePos">
    <vt:lpwstr>Sachbearbeiter/-in</vt:lpwstr>
  </property>
  <property fmtid="{D5CDD505-2E9C-101B-9397-08002B2CF9AE}" pid="84" name="FSC#COOELAK@1.1001:CurrentUserEmail">
    <vt:lpwstr>Marcel.Wuethrich@oak-bv.admin.ch</vt:lpwstr>
  </property>
  <property fmtid="{D5CDD505-2E9C-101B-9397-08002B2CF9AE}" pid="85" name="FSC#ELAKGOV@1.1001:PersonalSubjGender">
    <vt:lpwstr/>
  </property>
  <property fmtid="{D5CDD505-2E9C-101B-9397-08002B2CF9AE}" pid="86" name="FSC#ELAKGOV@1.1001:PersonalSubjFirstName">
    <vt:lpwstr/>
  </property>
  <property fmtid="{D5CDD505-2E9C-101B-9397-08002B2CF9AE}" pid="87" name="FSC#ELAKGOV@1.1001:PersonalSubjSurName">
    <vt:lpwstr/>
  </property>
  <property fmtid="{D5CDD505-2E9C-101B-9397-08002B2CF9AE}" pid="88" name="FSC#ELAKGOV@1.1001:PersonalSubjSalutation">
    <vt:lpwstr/>
  </property>
  <property fmtid="{D5CDD505-2E9C-101B-9397-08002B2CF9AE}" pid="89" name="FSC#ELAKGOV@1.1001:PersonalSubjAddress">
    <vt:lpwstr/>
  </property>
  <property fmtid="{D5CDD505-2E9C-101B-9397-08002B2CF9AE}" pid="90" name="FSC#EDICFG@15.1700:SignerLeft">
    <vt:lpwstr/>
  </property>
  <property fmtid="{D5CDD505-2E9C-101B-9397-08002B2CF9AE}" pid="91" name="FSC#EDICFG@15.1700:SignerLeftFunction">
    <vt:lpwstr/>
  </property>
  <property fmtid="{D5CDD505-2E9C-101B-9397-08002B2CF9AE}" pid="92" name="FSC#EDICFG@15.1700:SignerRight">
    <vt:lpwstr/>
  </property>
  <property fmtid="{D5CDD505-2E9C-101B-9397-08002B2CF9AE}" pid="93" name="FSC#EDICFG@15.1700:SignerRightFunction">
    <vt:lpwstr/>
  </property>
  <property fmtid="{D5CDD505-2E9C-101B-9397-08002B2CF9AE}" pid="94" name="FSC#ATSTATECFG@1.1001:Office">
    <vt:lpwstr/>
  </property>
  <property fmtid="{D5CDD505-2E9C-101B-9397-08002B2CF9AE}" pid="95" name="FSC#ATSTATECFG@1.1001:Agent">
    <vt:lpwstr>André Tapernoux</vt:lpwstr>
  </property>
  <property fmtid="{D5CDD505-2E9C-101B-9397-08002B2CF9AE}" pid="96" name="FSC#ATSTATECFG@1.1001:AgentPhone">
    <vt:lpwstr>+41 58 462 92 09</vt:lpwstr>
  </property>
  <property fmtid="{D5CDD505-2E9C-101B-9397-08002B2CF9AE}" pid="97" name="FSC#ATSTATECFG@1.1001:DepartmentFax">
    <vt:lpwstr>+41 31 32 22696</vt:lpwstr>
  </property>
  <property fmtid="{D5CDD505-2E9C-101B-9397-08002B2CF9AE}" pid="98" name="FSC#ATSTATECFG@1.1001:DepartmentEmail">
    <vt:lpwstr>info@oak-bv.admin.ch</vt:lpwstr>
  </property>
  <property fmtid="{D5CDD505-2E9C-101B-9397-08002B2CF9AE}" pid="99" name="FSC#ATSTATECFG@1.1001:SubfileDate">
    <vt:lpwstr>16.04.2014</vt:lpwstr>
  </property>
  <property fmtid="{D5CDD505-2E9C-101B-9397-08002B2CF9AE}" pid="100" name="FSC#ATSTATECFG@1.1001:SubfileSubject">
    <vt:lpwstr>Means_Anlage_2014-04-10_Korr_x000d_
Means_Anlage_2014-04-10_Korr_x000d_
Means_all_2014-04-10_Korr_x000d_
Sanierungsmassnahmen_2014-04-10_Korr_x000d_
Means_Loehne_2014-04-10_Korr_x000d_
Means_Quantile_2014-04-10_Korr_x000d_
Means_Bilanzsumme_2014-04-10_Korr_x000d_
Means_all_2014-04-10_Korr_x000d_
Tabell</vt:lpwstr>
  </property>
  <property fmtid="{D5CDD505-2E9C-101B-9397-08002B2CF9AE}" pid="101" name="FSC#ATSTATECFG@1.1001:DepartmentZipCode">
    <vt:lpwstr>3003</vt:lpwstr>
  </property>
  <property fmtid="{D5CDD505-2E9C-101B-9397-08002B2CF9AE}" pid="102" name="FSC#ATSTATECFG@1.1001:DepartmentCountry">
    <vt:lpwstr/>
  </property>
  <property fmtid="{D5CDD505-2E9C-101B-9397-08002B2CF9AE}" pid="103" name="FSC#ATSTATECFG@1.1001:DepartmentCity">
    <vt:lpwstr>Bern</vt:lpwstr>
  </property>
  <property fmtid="{D5CDD505-2E9C-101B-9397-08002B2CF9AE}" pid="104" name="FSC#ATSTATECFG@1.1001:DepartmentStreet">
    <vt:lpwstr>Seilerstrasse 8</vt:lpwstr>
  </property>
  <property fmtid="{D5CDD505-2E9C-101B-9397-08002B2CF9AE}" pid="105" name="FSC#ATSTATECFG@1.1001:DepartmentDVR">
    <vt:lpwstr/>
  </property>
  <property fmtid="{D5CDD505-2E9C-101B-9397-08002B2CF9AE}" pid="106" name="FSC#ATSTATECFG@1.1001:DepartmentUID">
    <vt:lpwstr/>
  </property>
  <property fmtid="{D5CDD505-2E9C-101B-9397-08002B2CF9AE}" pid="107" name="FSC#ATSTATECFG@1.1001:SubfileReference">
    <vt:lpwstr>063-R13/Adressdaten</vt:lpwstr>
  </property>
  <property fmtid="{D5CDD505-2E9C-101B-9397-08002B2CF9AE}" pid="108" name="FSC#ATSTATECFG@1.1001:Clause">
    <vt:lpwstr/>
  </property>
  <property fmtid="{D5CDD505-2E9C-101B-9397-08002B2CF9AE}" pid="109" name="FSC#ATSTATECFG@1.1001:ApprovedSignature">
    <vt:lpwstr/>
  </property>
  <property fmtid="{D5CDD505-2E9C-101B-9397-08002B2CF9AE}" pid="110" name="FSC#ATSTATECFG@1.1001:BankAccount">
    <vt:lpwstr/>
  </property>
  <property fmtid="{D5CDD505-2E9C-101B-9397-08002B2CF9AE}" pid="111" name="FSC#ATSTATECFG@1.1001:BankAccountOwner">
    <vt:lpwstr/>
  </property>
  <property fmtid="{D5CDD505-2E9C-101B-9397-08002B2CF9AE}" pid="112" name="FSC#ATSTATECFG@1.1001:BankInstitute">
    <vt:lpwstr/>
  </property>
  <property fmtid="{D5CDD505-2E9C-101B-9397-08002B2CF9AE}" pid="113" name="FSC#ATSTATECFG@1.1001:BankAccountID">
    <vt:lpwstr/>
  </property>
  <property fmtid="{D5CDD505-2E9C-101B-9397-08002B2CF9AE}" pid="114" name="FSC#ATSTATECFG@1.1001:BankAccountIBAN">
    <vt:lpwstr/>
  </property>
  <property fmtid="{D5CDD505-2E9C-101B-9397-08002B2CF9AE}" pid="115" name="FSC#ATSTATECFG@1.1001:BankAccountBIC">
    <vt:lpwstr/>
  </property>
  <property fmtid="{D5CDD505-2E9C-101B-9397-08002B2CF9AE}" pid="116" name="FSC#ATSTATECFG@1.1001:BankName">
    <vt:lpwstr/>
  </property>
  <property fmtid="{D5CDD505-2E9C-101B-9397-08002B2CF9AE}" pid="117" name="FSC#CCAPRECONFIG@15.1001:AddrAnrede">
    <vt:lpwstr/>
  </property>
  <property fmtid="{D5CDD505-2E9C-101B-9397-08002B2CF9AE}" pid="118" name="FSC#CCAPRECONFIG@15.1001:AddrTitel">
    <vt:lpwstr/>
  </property>
  <property fmtid="{D5CDD505-2E9C-101B-9397-08002B2CF9AE}" pid="119" name="FSC#CCAPRECONFIG@15.1001:AddrNachgestellter_Titel">
    <vt:lpwstr/>
  </property>
  <property fmtid="{D5CDD505-2E9C-101B-9397-08002B2CF9AE}" pid="120" name="FSC#CCAPRECONFIG@15.1001:AddrVorname">
    <vt:lpwstr/>
  </property>
  <property fmtid="{D5CDD505-2E9C-101B-9397-08002B2CF9AE}" pid="121" name="FSC#CCAPRECONFIG@15.1001:AddrNachname">
    <vt:lpwstr/>
  </property>
  <property fmtid="{D5CDD505-2E9C-101B-9397-08002B2CF9AE}" pid="122" name="FSC#CCAPRECONFIG@15.1001:AddrzH">
    <vt:lpwstr/>
  </property>
  <property fmtid="{D5CDD505-2E9C-101B-9397-08002B2CF9AE}" pid="123" name="FSC#CCAPRECONFIG@15.1001:AddrGeschlecht">
    <vt:lpwstr/>
  </property>
  <property fmtid="{D5CDD505-2E9C-101B-9397-08002B2CF9AE}" pid="124" name="FSC#CCAPRECONFIG@15.1001:AddrStrasse">
    <vt:lpwstr/>
  </property>
  <property fmtid="{D5CDD505-2E9C-101B-9397-08002B2CF9AE}" pid="125" name="FSC#CCAPRECONFIG@15.1001:AddrHausnummer">
    <vt:lpwstr/>
  </property>
  <property fmtid="{D5CDD505-2E9C-101B-9397-08002B2CF9AE}" pid="126" name="FSC#CCAPRECONFIG@15.1001:AddrStiege">
    <vt:lpwstr/>
  </property>
  <property fmtid="{D5CDD505-2E9C-101B-9397-08002B2CF9AE}" pid="127" name="FSC#CCAPRECONFIG@15.1001:AddrTuer">
    <vt:lpwstr/>
  </property>
  <property fmtid="{D5CDD505-2E9C-101B-9397-08002B2CF9AE}" pid="128" name="FSC#CCAPRECONFIG@15.1001:AddrPostfach">
    <vt:lpwstr/>
  </property>
  <property fmtid="{D5CDD505-2E9C-101B-9397-08002B2CF9AE}" pid="129" name="FSC#CCAPRECONFIG@15.1001:AddrPostleitzahl">
    <vt:lpwstr/>
  </property>
  <property fmtid="{D5CDD505-2E9C-101B-9397-08002B2CF9AE}" pid="130" name="FSC#CCAPRECONFIG@15.1001:AddrOrt">
    <vt:lpwstr/>
  </property>
  <property fmtid="{D5CDD505-2E9C-101B-9397-08002B2CF9AE}" pid="131" name="FSC#CCAPRECONFIG@15.1001:AddrLand">
    <vt:lpwstr/>
  </property>
  <property fmtid="{D5CDD505-2E9C-101B-9397-08002B2CF9AE}" pid="132" name="FSC#CCAPRECONFIG@15.1001:AddrEmail">
    <vt:lpwstr/>
  </property>
  <property fmtid="{D5CDD505-2E9C-101B-9397-08002B2CF9AE}" pid="133" name="FSC#CCAPRECONFIG@15.1001:AddrAdresse">
    <vt:lpwstr/>
  </property>
  <property fmtid="{D5CDD505-2E9C-101B-9397-08002B2CF9AE}" pid="134" name="FSC#CCAPRECONFIG@15.1001:AddrFax">
    <vt:lpwstr/>
  </property>
  <property fmtid="{D5CDD505-2E9C-101B-9397-08002B2CF9AE}" pid="135" name="FSC#CCAPRECONFIG@15.1001:AddrOrganisationsname">
    <vt:lpwstr/>
  </property>
  <property fmtid="{D5CDD505-2E9C-101B-9397-08002B2CF9AE}" pid="136" name="FSC#CCAPRECONFIG@15.1001:AddrOrganisationskurzname">
    <vt:lpwstr/>
  </property>
  <property fmtid="{D5CDD505-2E9C-101B-9397-08002B2CF9AE}" pid="137" name="FSC#CCAPRECONFIG@15.1001:AddrAbschriftsbemerkung">
    <vt:lpwstr/>
  </property>
  <property fmtid="{D5CDD505-2E9C-101B-9397-08002B2CF9AE}" pid="138" name="FSC#CCAPRECONFIG@15.1001:AddrName_Zeile_2">
    <vt:lpwstr/>
  </property>
  <property fmtid="{D5CDD505-2E9C-101B-9397-08002B2CF9AE}" pid="139" name="FSC#CCAPRECONFIG@15.1001:AddrName_Zeile_3">
    <vt:lpwstr/>
  </property>
  <property fmtid="{D5CDD505-2E9C-101B-9397-08002B2CF9AE}" pid="140" name="FSC#CCAPRECONFIG@15.1001:AddrPostalischeAdresse">
    <vt:lpwstr/>
  </property>
  <property fmtid="{D5CDD505-2E9C-101B-9397-08002B2CF9AE}" pid="141" name="FSC#FSCFOLIO@1.1001:docpropproject">
    <vt:lpwstr/>
  </property>
</Properties>
</file>