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P:\Gremien\OAK-BV\Bereich Risk Management\Bericht finanzielle Lage 2017\Auswertungen\"/>
    </mc:Choice>
  </mc:AlternateContent>
  <bookViews>
    <workbookView xWindow="120" yWindow="105" windowWidth="28680" windowHeight="14370" firstSheet="1" activeTab="1"/>
  </bookViews>
  <sheets>
    <sheet name="Control" sheetId="98" state="hidden" r:id="rId1"/>
    <sheet name="0" sheetId="96" r:id="rId2"/>
    <sheet name="9" sheetId="10" r:id="rId3"/>
    <sheet name="10" sheetId="64" r:id="rId4"/>
    <sheet name="11" sheetId="13" r:id="rId5"/>
    <sheet name="12" sheetId="15" r:id="rId6"/>
    <sheet name="13" sheetId="17" r:id="rId7"/>
    <sheet name="14" sheetId="22" r:id="rId8"/>
    <sheet name="15" sheetId="24" r:id="rId9"/>
    <sheet name="16" sheetId="28" r:id="rId10"/>
    <sheet name="17" sheetId="73" r:id="rId11"/>
    <sheet name="19" sheetId="32" r:id="rId12"/>
    <sheet name="20" sheetId="36" r:id="rId13"/>
    <sheet name="21" sheetId="81" r:id="rId14"/>
    <sheet name="23" sheetId="83" r:id="rId15"/>
    <sheet name="24" sheetId="69" r:id="rId16"/>
    <sheet name="25" sheetId="85" r:id="rId17"/>
    <sheet name="26" sheetId="68" r:id="rId18"/>
    <sheet name="27" sheetId="100" r:id="rId19"/>
    <sheet name="28" sheetId="38" r:id="rId20"/>
    <sheet name="29" sheetId="45" r:id="rId21"/>
    <sheet name="30" sheetId="47" r:id="rId22"/>
    <sheet name="31" sheetId="49" r:id="rId23"/>
    <sheet name="32" sheetId="41" r:id="rId24"/>
    <sheet name="35" sheetId="99" r:id="rId25"/>
    <sheet name="40" sheetId="5" r:id="rId26"/>
    <sheet name="41" sheetId="6" r:id="rId27"/>
    <sheet name="42" sheetId="7" r:id="rId28"/>
    <sheet name="43" sheetId="9" r:id="rId29"/>
    <sheet name="B 1" sheetId="8" r:id="rId30"/>
    <sheet name="Translation" sheetId="97" state="hidden" r:id="rId31"/>
  </sheets>
  <externalReferences>
    <externalReference r:id="rId32"/>
  </externalReferences>
  <definedNames>
    <definedName name="_xlnm.Print_Titles" localSheetId="1">'0'!$A:$A,'0'!$1:$5</definedName>
    <definedName name="_xlnm.Print_Titles" localSheetId="3">'10'!$A:$A,'10'!$1:$5</definedName>
    <definedName name="_xlnm.Print_Titles" localSheetId="4">'11'!$A:$A,'11'!$1:$5</definedName>
    <definedName name="_xlnm.Print_Titles" localSheetId="5">'12'!$A:$A,'12'!$1:$5</definedName>
    <definedName name="_xlnm.Print_Titles" localSheetId="6">'13'!$A:$A,'13'!$1:$5</definedName>
    <definedName name="_xlnm.Print_Titles" localSheetId="7">'14'!$A:$A,'14'!$1:$5</definedName>
    <definedName name="_xlnm.Print_Titles" localSheetId="8">'15'!$A:$A,'15'!$1:$5</definedName>
    <definedName name="_xlnm.Print_Titles" localSheetId="9">'16'!$A:$A,'16'!$1:$5</definedName>
    <definedName name="_xlnm.Print_Titles" localSheetId="10">'17'!$A:$A,'17'!$1:$5</definedName>
    <definedName name="_xlnm.Print_Titles" localSheetId="11">'19'!$A:$A,'19'!$1:$5</definedName>
    <definedName name="_xlnm.Print_Titles" localSheetId="12">'20'!$A:$A,'20'!$1:$5</definedName>
    <definedName name="_xlnm.Print_Titles" localSheetId="13">'21'!$A:$A,'21'!$1:$5</definedName>
    <definedName name="_xlnm.Print_Titles" localSheetId="14">'23'!$A:$A,'23'!$1:$5</definedName>
    <definedName name="_xlnm.Print_Titles" localSheetId="15">'24'!$A:$A,'24'!$1:$5</definedName>
    <definedName name="_xlnm.Print_Titles" localSheetId="16">'25'!$A:$A,'25'!$1:$5</definedName>
    <definedName name="_xlnm.Print_Titles" localSheetId="17">'26'!$A:$A,'26'!$1:$5</definedName>
    <definedName name="_xlnm.Print_Titles" localSheetId="18">'27'!$A:$A,'27'!$1:$5</definedName>
    <definedName name="_xlnm.Print_Titles" localSheetId="19">'28'!$A:$A,'28'!$1:$5</definedName>
    <definedName name="_xlnm.Print_Titles" localSheetId="20">'29'!$A:$A,'29'!$1:$5</definedName>
    <definedName name="_xlnm.Print_Titles" localSheetId="21">'30'!$A:$A,'30'!$1:$5</definedName>
    <definedName name="_xlnm.Print_Titles" localSheetId="22">'31'!$A:$A,'31'!$1:$5</definedName>
    <definedName name="_xlnm.Print_Titles" localSheetId="23">'32'!$A:$A,'32'!$1:$5</definedName>
    <definedName name="_xlnm.Print_Titles" localSheetId="24">'35'!$A:$A,'35'!$1:$5</definedName>
    <definedName name="_xlnm.Print_Titles" localSheetId="25">'40'!$A:$A,'40'!$1:$5</definedName>
    <definedName name="_xlnm.Print_Titles" localSheetId="26">'41'!$A:$A,'41'!$1:$5</definedName>
    <definedName name="_xlnm.Print_Titles" localSheetId="27">'42'!$A:$A,'42'!$1:$5</definedName>
    <definedName name="_xlnm.Print_Titles" localSheetId="28">'43'!$A:$A,'43'!$1:$5</definedName>
    <definedName name="_xlnm.Print_Titles" localSheetId="2">'9'!$A:$A,'9'!$1:$5</definedName>
    <definedName name="_xlnm.Print_Titles" localSheetId="29">'B 1'!$A:$A,'B 1'!$1:$5</definedName>
    <definedName name="_xlnm.Print_Titles" localSheetId="0">Control!$A:$A,Control!$1:$5</definedName>
    <definedName name="_xlnm.Print_Titles" localSheetId="30">Translation!$A:$A,Translation!$1:$5</definedName>
    <definedName name="language" localSheetId="0">[1]Translation!$B$5</definedName>
    <definedName name="language">Translation!$B$5</definedName>
    <definedName name="Sprachauswahl">Translation!$A$1:$A$2</definedName>
  </definedNames>
  <calcPr calcId="152511"/>
</workbook>
</file>

<file path=xl/calcChain.xml><?xml version="1.0" encoding="utf-8"?>
<calcChain xmlns="http://schemas.openxmlformats.org/spreadsheetml/2006/main">
  <c r="Z92" i="15" l="1"/>
  <c r="Z93" i="15"/>
  <c r="Z92" i="17"/>
  <c r="Z93" i="17"/>
  <c r="Z52" i="15"/>
  <c r="Z53" i="15"/>
  <c r="Z52" i="17"/>
  <c r="Z53" i="17"/>
  <c r="C36" i="17" l="1"/>
  <c r="B36" i="17"/>
  <c r="F92" i="17"/>
  <c r="F93" i="17"/>
  <c r="F92" i="15"/>
  <c r="F93" i="15"/>
  <c r="F52" i="17"/>
  <c r="F53" i="17"/>
  <c r="F52" i="15"/>
  <c r="F53" i="15"/>
  <c r="A194" i="97"/>
  <c r="A14" i="15" s="1"/>
  <c r="A193" i="97"/>
  <c r="A13" i="17" s="1"/>
  <c r="Y116" i="17"/>
  <c r="X116" i="17"/>
  <c r="W116" i="17"/>
  <c r="V116" i="17"/>
  <c r="T116" i="17"/>
  <c r="S116" i="17"/>
  <c r="R116" i="17"/>
  <c r="Q116" i="17"/>
  <c r="O116" i="17"/>
  <c r="N116" i="17"/>
  <c r="M116" i="17"/>
  <c r="L116" i="17"/>
  <c r="J116" i="17"/>
  <c r="I116" i="17"/>
  <c r="H116" i="17"/>
  <c r="G116" i="17"/>
  <c r="E116" i="17"/>
  <c r="D116" i="17"/>
  <c r="C116" i="17"/>
  <c r="B116" i="17"/>
  <c r="Y116" i="15"/>
  <c r="X116" i="15"/>
  <c r="W116" i="15"/>
  <c r="V116" i="15"/>
  <c r="T116" i="15"/>
  <c r="S116" i="15"/>
  <c r="R116" i="15"/>
  <c r="Q116" i="15"/>
  <c r="O116" i="15"/>
  <c r="N116" i="15"/>
  <c r="M116" i="15"/>
  <c r="L116" i="15"/>
  <c r="J116" i="15"/>
  <c r="I116" i="15"/>
  <c r="H116" i="15"/>
  <c r="G116" i="15"/>
  <c r="E116" i="15"/>
  <c r="D116" i="15"/>
  <c r="C116" i="15"/>
  <c r="B116" i="15"/>
  <c r="Y76" i="15"/>
  <c r="X76" i="15"/>
  <c r="W76" i="15"/>
  <c r="V76" i="15"/>
  <c r="T76" i="15"/>
  <c r="S76" i="15"/>
  <c r="R76" i="15"/>
  <c r="Q76" i="15"/>
  <c r="O76" i="15"/>
  <c r="N76" i="15"/>
  <c r="M76" i="15"/>
  <c r="L76" i="15"/>
  <c r="J76" i="15"/>
  <c r="I76" i="15"/>
  <c r="H76" i="15"/>
  <c r="G76" i="15"/>
  <c r="E76" i="15"/>
  <c r="D76" i="15"/>
  <c r="C76" i="15"/>
  <c r="B76" i="15"/>
  <c r="Y76" i="17"/>
  <c r="X76" i="17"/>
  <c r="W76" i="17"/>
  <c r="V76" i="17"/>
  <c r="T76" i="17"/>
  <c r="S76" i="17"/>
  <c r="R76" i="17"/>
  <c r="Q76" i="17"/>
  <c r="O76" i="17"/>
  <c r="N76" i="17"/>
  <c r="M76" i="17"/>
  <c r="L76" i="17"/>
  <c r="J76" i="17"/>
  <c r="I76" i="17"/>
  <c r="H76" i="17"/>
  <c r="G76" i="17"/>
  <c r="E76" i="17"/>
  <c r="D76" i="17"/>
  <c r="C76" i="17"/>
  <c r="B76" i="17"/>
  <c r="Y36" i="17"/>
  <c r="X36" i="17"/>
  <c r="W36" i="17"/>
  <c r="V36" i="17"/>
  <c r="T36" i="17"/>
  <c r="S36" i="17"/>
  <c r="R36" i="17"/>
  <c r="Q36" i="17"/>
  <c r="O36" i="17"/>
  <c r="N36" i="17"/>
  <c r="M36" i="17"/>
  <c r="L36" i="17"/>
  <c r="J36" i="17"/>
  <c r="I36" i="17"/>
  <c r="H36" i="17"/>
  <c r="G36" i="17"/>
  <c r="E36" i="17"/>
  <c r="F12" i="17" s="1"/>
  <c r="D36" i="17"/>
  <c r="Y36" i="15"/>
  <c r="X36" i="15"/>
  <c r="W36" i="15"/>
  <c r="V36" i="15"/>
  <c r="T36" i="15"/>
  <c r="S36" i="15"/>
  <c r="R36" i="15"/>
  <c r="Q36" i="15"/>
  <c r="O36" i="15"/>
  <c r="N36" i="15"/>
  <c r="M36" i="15"/>
  <c r="L36" i="15"/>
  <c r="J36" i="15"/>
  <c r="I36" i="15"/>
  <c r="H36" i="15"/>
  <c r="G36" i="15"/>
  <c r="E36" i="15"/>
  <c r="F13" i="15" s="1"/>
  <c r="D36" i="15"/>
  <c r="C36" i="15"/>
  <c r="B36" i="15"/>
  <c r="A13" i="15" l="1"/>
  <c r="A14" i="17"/>
  <c r="U52" i="17"/>
  <c r="U53" i="17"/>
  <c r="U92" i="15"/>
  <c r="U93" i="15"/>
  <c r="U92" i="17"/>
  <c r="U93" i="17"/>
  <c r="U52" i="15"/>
  <c r="U53" i="15"/>
  <c r="K52" i="17"/>
  <c r="K53" i="17"/>
  <c r="P52" i="17"/>
  <c r="P53" i="17"/>
  <c r="K52" i="15"/>
  <c r="K53" i="15"/>
  <c r="P52" i="15"/>
  <c r="P53" i="15"/>
  <c r="K92" i="15"/>
  <c r="K93" i="15"/>
  <c r="P92" i="15"/>
  <c r="P93" i="15"/>
  <c r="K92" i="17"/>
  <c r="K93" i="17"/>
  <c r="P92" i="17"/>
  <c r="P93" i="17"/>
  <c r="K12" i="15"/>
  <c r="K13" i="15"/>
  <c r="Z12" i="17"/>
  <c r="Z13" i="17"/>
  <c r="Z14" i="17"/>
  <c r="U14" i="17"/>
  <c r="U12" i="17"/>
  <c r="U13" i="17"/>
  <c r="P14" i="17"/>
  <c r="P13" i="17"/>
  <c r="P12" i="17"/>
  <c r="K14" i="17"/>
  <c r="K13" i="17"/>
  <c r="K12" i="17"/>
  <c r="Z13" i="15"/>
  <c r="Z12" i="15"/>
  <c r="Z14" i="15"/>
  <c r="U13" i="15"/>
  <c r="U12" i="15"/>
  <c r="U14" i="15"/>
  <c r="P13" i="15"/>
  <c r="P12" i="15"/>
  <c r="P14" i="15"/>
  <c r="F12" i="15"/>
  <c r="F13" i="17"/>
  <c r="Z40" i="98"/>
  <c r="Y40" i="98"/>
  <c r="X40" i="98"/>
  <c r="W40" i="98"/>
  <c r="V40" i="98"/>
  <c r="E40" i="98"/>
  <c r="Z39" i="98"/>
  <c r="Y39" i="98"/>
  <c r="X39" i="98"/>
  <c r="W39" i="98"/>
  <c r="V39" i="98"/>
  <c r="Z38" i="98"/>
  <c r="Y38" i="98"/>
  <c r="X38" i="98"/>
  <c r="W38" i="98"/>
  <c r="V38" i="98"/>
  <c r="Z35" i="98"/>
  <c r="Y35" i="98"/>
  <c r="X35" i="98"/>
  <c r="W35" i="98"/>
  <c r="V35" i="98"/>
  <c r="Z29" i="98"/>
  <c r="Y29" i="98"/>
  <c r="X29" i="98"/>
  <c r="W29" i="98"/>
  <c r="V29" i="98"/>
  <c r="T116" i="100"/>
  <c r="U98" i="100" s="1"/>
  <c r="S116" i="100"/>
  <c r="R116" i="100"/>
  <c r="Q116" i="100"/>
  <c r="O116" i="100"/>
  <c r="P97" i="100" s="1"/>
  <c r="N116" i="100"/>
  <c r="M116" i="100"/>
  <c r="L116" i="100"/>
  <c r="J116" i="100"/>
  <c r="K97" i="100" s="1"/>
  <c r="I116" i="100"/>
  <c r="H116" i="100"/>
  <c r="G116" i="100"/>
  <c r="E116" i="100"/>
  <c r="D116" i="100"/>
  <c r="C116" i="100"/>
  <c r="B116" i="100"/>
  <c r="A114" i="100"/>
  <c r="A113" i="100"/>
  <c r="A112" i="100"/>
  <c r="A111" i="100"/>
  <c r="A110" i="100"/>
  <c r="A109" i="100"/>
  <c r="A108" i="100"/>
  <c r="A107" i="100"/>
  <c r="A106" i="100"/>
  <c r="A105" i="100"/>
  <c r="A104" i="100"/>
  <c r="A103" i="100"/>
  <c r="A102" i="100"/>
  <c r="A101" i="100"/>
  <c r="A100" i="100"/>
  <c r="A99" i="100"/>
  <c r="K98" i="100"/>
  <c r="F98" i="100"/>
  <c r="F97" i="100"/>
  <c r="U96" i="100"/>
  <c r="F96" i="100"/>
  <c r="F95" i="100"/>
  <c r="F116" i="100" s="1"/>
  <c r="K94" i="100"/>
  <c r="F94" i="100"/>
  <c r="K93" i="100"/>
  <c r="F93" i="100"/>
  <c r="F92" i="100"/>
  <c r="T76" i="100"/>
  <c r="S76" i="100"/>
  <c r="R76" i="100"/>
  <c r="Q76" i="100"/>
  <c r="O76" i="100"/>
  <c r="P55" i="100" s="1"/>
  <c r="N76" i="100"/>
  <c r="M76" i="100"/>
  <c r="L76" i="100"/>
  <c r="J76" i="100"/>
  <c r="K58" i="100" s="1"/>
  <c r="I76" i="100"/>
  <c r="H76" i="100"/>
  <c r="G76" i="100"/>
  <c r="E76" i="100"/>
  <c r="F58" i="100" s="1"/>
  <c r="D76" i="100"/>
  <c r="C76" i="100"/>
  <c r="B76" i="100"/>
  <c r="A74" i="100"/>
  <c r="A73" i="100"/>
  <c r="A72" i="100"/>
  <c r="A71" i="100"/>
  <c r="A70" i="100"/>
  <c r="A69" i="100"/>
  <c r="A68" i="100"/>
  <c r="A67" i="100"/>
  <c r="A66" i="100"/>
  <c r="A65" i="100"/>
  <c r="A64" i="100"/>
  <c r="A63" i="100"/>
  <c r="A62" i="100"/>
  <c r="A61" i="100"/>
  <c r="A60" i="100"/>
  <c r="A59" i="100"/>
  <c r="P58" i="100"/>
  <c r="K57" i="100"/>
  <c r="K55" i="100"/>
  <c r="F55" i="100"/>
  <c r="P54" i="100"/>
  <c r="K54" i="100"/>
  <c r="K53" i="100"/>
  <c r="P52" i="100"/>
  <c r="F52" i="100"/>
  <c r="T36" i="100"/>
  <c r="T29" i="98" s="1"/>
  <c r="S36" i="100"/>
  <c r="S29" i="98" s="1"/>
  <c r="R36" i="100"/>
  <c r="R29" i="98" s="1"/>
  <c r="Q36" i="100"/>
  <c r="Q29" i="98" s="1"/>
  <c r="O36" i="100"/>
  <c r="P15" i="100" s="1"/>
  <c r="N36" i="100"/>
  <c r="N29" i="98" s="1"/>
  <c r="M36" i="100"/>
  <c r="M29" i="98" s="1"/>
  <c r="L36" i="100"/>
  <c r="L29" i="98" s="1"/>
  <c r="J36" i="100"/>
  <c r="K17" i="100" s="1"/>
  <c r="I36" i="100"/>
  <c r="I29" i="98" s="1"/>
  <c r="H36" i="100"/>
  <c r="H29" i="98" s="1"/>
  <c r="G36" i="100"/>
  <c r="G29" i="98" s="1"/>
  <c r="E36" i="100"/>
  <c r="E29" i="98" s="1"/>
  <c r="D36" i="100"/>
  <c r="D29" i="98" s="1"/>
  <c r="C36" i="100"/>
  <c r="C29" i="98" s="1"/>
  <c r="B36" i="100"/>
  <c r="B29" i="98" s="1"/>
  <c r="P18" i="100"/>
  <c r="K18" i="100"/>
  <c r="P16" i="100"/>
  <c r="K14" i="100"/>
  <c r="P12" i="100"/>
  <c r="A42" i="97"/>
  <c r="B3" i="98" s="1"/>
  <c r="D125" i="98"/>
  <c r="B125" i="98"/>
  <c r="B122" i="98"/>
  <c r="B121" i="98"/>
  <c r="D120" i="98"/>
  <c r="C117" i="98"/>
  <c r="B117" i="98"/>
  <c r="B114" i="98"/>
  <c r="D113" i="98"/>
  <c r="C113" i="98"/>
  <c r="D112" i="98"/>
  <c r="E111" i="98"/>
  <c r="B111" i="98"/>
  <c r="C110" i="98"/>
  <c r="E109" i="98"/>
  <c r="D109" i="98"/>
  <c r="C109" i="98"/>
  <c r="B109" i="98"/>
  <c r="E107" i="98"/>
  <c r="B106" i="98"/>
  <c r="C105" i="98"/>
  <c r="D104" i="98"/>
  <c r="C104" i="98"/>
  <c r="D99" i="98"/>
  <c r="D98" i="98"/>
  <c r="C98" i="98"/>
  <c r="E97" i="98"/>
  <c r="D97" i="98"/>
  <c r="E83" i="98"/>
  <c r="F79" i="98"/>
  <c r="E79" i="98"/>
  <c r="D79" i="98"/>
  <c r="C79" i="98"/>
  <c r="B79" i="98"/>
  <c r="E76" i="98"/>
  <c r="B76" i="98"/>
  <c r="D75" i="98"/>
  <c r="C75" i="98"/>
  <c r="C73" i="98"/>
  <c r="D72" i="98"/>
  <c r="D71" i="98"/>
  <c r="C71" i="98"/>
  <c r="E69" i="98"/>
  <c r="D69" i="98"/>
  <c r="C69" i="98"/>
  <c r="B69" i="98"/>
  <c r="E68" i="98"/>
  <c r="B67" i="98"/>
  <c r="C66" i="98"/>
  <c r="D65" i="98"/>
  <c r="D64" i="98"/>
  <c r="C64" i="98"/>
  <c r="B64" i="98"/>
  <c r="B63" i="98"/>
  <c r="C57" i="98"/>
  <c r="B57" i="98"/>
  <c r="E45" i="98"/>
  <c r="B44" i="98"/>
  <c r="E43" i="98"/>
  <c r="D41" i="98"/>
  <c r="C25" i="98"/>
  <c r="E23" i="98"/>
  <c r="D23" i="98"/>
  <c r="C23" i="98"/>
  <c r="B23" i="98"/>
  <c r="C19" i="98"/>
  <c r="B17" i="98"/>
  <c r="C13" i="98"/>
  <c r="E116" i="64"/>
  <c r="F93" i="64" s="1"/>
  <c r="D116" i="64"/>
  <c r="C116" i="64"/>
  <c r="B116" i="64"/>
  <c r="B98" i="98" s="1"/>
  <c r="E76" i="64"/>
  <c r="F53" i="64" s="1"/>
  <c r="D76" i="64"/>
  <c r="D58" i="98" s="1"/>
  <c r="C76" i="64"/>
  <c r="C58" i="98" s="1"/>
  <c r="B76" i="64"/>
  <c r="B58" i="98" s="1"/>
  <c r="F54" i="64"/>
  <c r="E36" i="64"/>
  <c r="F13" i="64" s="1"/>
  <c r="D36" i="64"/>
  <c r="D13" i="98" s="1"/>
  <c r="C36" i="64"/>
  <c r="B36" i="64"/>
  <c r="B13" i="98" s="1"/>
  <c r="F14" i="64"/>
  <c r="F12" i="64"/>
  <c r="F36" i="64" s="1"/>
  <c r="F13" i="98" s="1"/>
  <c r="E116" i="13"/>
  <c r="F97" i="13" s="1"/>
  <c r="D116" i="13"/>
  <c r="C116" i="13"/>
  <c r="C99" i="98" s="1"/>
  <c r="B116" i="13"/>
  <c r="B99" i="98" s="1"/>
  <c r="F94" i="13"/>
  <c r="E76" i="13"/>
  <c r="F57" i="13" s="1"/>
  <c r="D76" i="13"/>
  <c r="D59" i="98" s="1"/>
  <c r="C76" i="13"/>
  <c r="C59" i="98" s="1"/>
  <c r="B76" i="13"/>
  <c r="B59" i="98" s="1"/>
  <c r="E36" i="13"/>
  <c r="F17" i="13" s="1"/>
  <c r="D36" i="13"/>
  <c r="D35" i="98" s="1"/>
  <c r="C36" i="13"/>
  <c r="C14" i="98" s="1"/>
  <c r="B36" i="13"/>
  <c r="B14" i="98" s="1"/>
  <c r="F96" i="15"/>
  <c r="D100" i="98"/>
  <c r="C100" i="98"/>
  <c r="B100" i="98"/>
  <c r="F57" i="15"/>
  <c r="D60" i="98"/>
  <c r="C60" i="98"/>
  <c r="B60" i="98"/>
  <c r="F59" i="15"/>
  <c r="F18" i="15"/>
  <c r="D15" i="98"/>
  <c r="C15" i="98"/>
  <c r="B15" i="98"/>
  <c r="F15" i="15"/>
  <c r="E101" i="98"/>
  <c r="D101" i="98"/>
  <c r="C101" i="98"/>
  <c r="B101" i="98"/>
  <c r="F99" i="17"/>
  <c r="F97" i="17"/>
  <c r="F95" i="17"/>
  <c r="F58" i="17"/>
  <c r="D61" i="98"/>
  <c r="C61" i="98"/>
  <c r="B61" i="98"/>
  <c r="F18" i="17"/>
  <c r="D37" i="98"/>
  <c r="C16" i="98"/>
  <c r="B16" i="98"/>
  <c r="F15" i="17"/>
  <c r="E116" i="22"/>
  <c r="F96" i="22" s="1"/>
  <c r="D116" i="22"/>
  <c r="D102" i="98" s="1"/>
  <c r="C116" i="22"/>
  <c r="C102" i="98" s="1"/>
  <c r="B116" i="22"/>
  <c r="B102" i="98" s="1"/>
  <c r="E76" i="22"/>
  <c r="F55" i="22" s="1"/>
  <c r="D76" i="22"/>
  <c r="D62" i="98" s="1"/>
  <c r="C76" i="22"/>
  <c r="C62" i="98" s="1"/>
  <c r="B76" i="22"/>
  <c r="B62" i="98" s="1"/>
  <c r="F57" i="22"/>
  <c r="F56" i="22"/>
  <c r="F53" i="22"/>
  <c r="F52" i="22"/>
  <c r="E36" i="22"/>
  <c r="F14" i="22" s="1"/>
  <c r="D36" i="22"/>
  <c r="D17" i="98" s="1"/>
  <c r="C36" i="22"/>
  <c r="C17" i="98" s="1"/>
  <c r="B36" i="22"/>
  <c r="E116" i="24"/>
  <c r="F96" i="24" s="1"/>
  <c r="D116" i="24"/>
  <c r="D103" i="98" s="1"/>
  <c r="C116" i="24"/>
  <c r="C103" i="98" s="1"/>
  <c r="B116" i="24"/>
  <c r="B103" i="98" s="1"/>
  <c r="F98" i="24"/>
  <c r="F95" i="24"/>
  <c r="E76" i="24"/>
  <c r="E63" i="98" s="1"/>
  <c r="D76" i="24"/>
  <c r="D63" i="98" s="1"/>
  <c r="C76" i="24"/>
  <c r="C63" i="98" s="1"/>
  <c r="B76" i="24"/>
  <c r="F58" i="24"/>
  <c r="F57" i="24"/>
  <c r="F56" i="24"/>
  <c r="F55" i="24"/>
  <c r="F54" i="24"/>
  <c r="F53" i="24"/>
  <c r="F52" i="24"/>
  <c r="F76" i="24" s="1"/>
  <c r="F63" i="98" s="1"/>
  <c r="E36" i="24"/>
  <c r="E38" i="98" s="1"/>
  <c r="D36" i="24"/>
  <c r="D18" i="98" s="1"/>
  <c r="C36" i="24"/>
  <c r="C38" i="98" s="1"/>
  <c r="B36" i="24"/>
  <c r="B38" i="98" s="1"/>
  <c r="E116" i="28"/>
  <c r="F96" i="28" s="1"/>
  <c r="D116" i="28"/>
  <c r="C116" i="28"/>
  <c r="B116" i="28"/>
  <c r="B104" i="98" s="1"/>
  <c r="F97" i="28"/>
  <c r="F93" i="28"/>
  <c r="E76" i="28"/>
  <c r="F56" i="28" s="1"/>
  <c r="D76" i="28"/>
  <c r="C76" i="28"/>
  <c r="B76" i="28"/>
  <c r="F53" i="28"/>
  <c r="E36" i="28"/>
  <c r="E19" i="98" s="1"/>
  <c r="D36" i="28"/>
  <c r="D19" i="98" s="1"/>
  <c r="C36" i="28"/>
  <c r="B36" i="28"/>
  <c r="B19" i="98" s="1"/>
  <c r="E116" i="73"/>
  <c r="F97" i="73" s="1"/>
  <c r="D116" i="73"/>
  <c r="D107" i="98" s="1"/>
  <c r="C116" i="73"/>
  <c r="C107" i="98" s="1"/>
  <c r="B116" i="73"/>
  <c r="B105" i="98" s="1"/>
  <c r="E76" i="73"/>
  <c r="F57" i="73" s="1"/>
  <c r="D76" i="73"/>
  <c r="D67" i="98" s="1"/>
  <c r="C76" i="73"/>
  <c r="C67" i="98" s="1"/>
  <c r="B76" i="73"/>
  <c r="B65" i="98" s="1"/>
  <c r="E36" i="73"/>
  <c r="F17" i="73" s="1"/>
  <c r="D36" i="73"/>
  <c r="D20" i="98" s="1"/>
  <c r="C36" i="73"/>
  <c r="C21" i="98" s="1"/>
  <c r="B36" i="73"/>
  <c r="B21" i="98" s="1"/>
  <c r="E116" i="32"/>
  <c r="F95" i="32" s="1"/>
  <c r="D116" i="32"/>
  <c r="D108" i="98" s="1"/>
  <c r="C116" i="32"/>
  <c r="C108" i="98" s="1"/>
  <c r="B116" i="32"/>
  <c r="B108" i="98" s="1"/>
  <c r="F96" i="32"/>
  <c r="F92" i="32"/>
  <c r="E76" i="32"/>
  <c r="D76" i="32"/>
  <c r="D68" i="98" s="1"/>
  <c r="C76" i="32"/>
  <c r="C68" i="98" s="1"/>
  <c r="B76" i="32"/>
  <c r="B68" i="98" s="1"/>
  <c r="F57" i="32"/>
  <c r="F56" i="32"/>
  <c r="F55" i="32"/>
  <c r="F54" i="32"/>
  <c r="F53" i="32"/>
  <c r="F52" i="32"/>
  <c r="E36" i="32"/>
  <c r="F16" i="32" s="1"/>
  <c r="D36" i="32"/>
  <c r="D22" i="98" s="1"/>
  <c r="C36" i="32"/>
  <c r="C22" i="98" s="1"/>
  <c r="B36" i="32"/>
  <c r="B22" i="98" s="1"/>
  <c r="F13" i="32"/>
  <c r="F116" i="36"/>
  <c r="F109" i="98" s="1"/>
  <c r="E116" i="36"/>
  <c r="D116" i="36"/>
  <c r="C116" i="36"/>
  <c r="B116" i="36"/>
  <c r="F76" i="36"/>
  <c r="F69" i="98" s="1"/>
  <c r="E76" i="36"/>
  <c r="D76" i="36"/>
  <c r="C76" i="36"/>
  <c r="B76" i="36"/>
  <c r="F36" i="36"/>
  <c r="F23" i="98" s="1"/>
  <c r="E36" i="36"/>
  <c r="D36" i="36"/>
  <c r="C36" i="36"/>
  <c r="B36" i="36"/>
  <c r="E116" i="81"/>
  <c r="E110" i="98" s="1"/>
  <c r="D116" i="81"/>
  <c r="D110" i="98" s="1"/>
  <c r="C116" i="81"/>
  <c r="B116" i="81"/>
  <c r="B110" i="98" s="1"/>
  <c r="F97" i="81"/>
  <c r="F96" i="81"/>
  <c r="F95" i="81"/>
  <c r="F94" i="81"/>
  <c r="F93" i="81"/>
  <c r="F92" i="81"/>
  <c r="F116" i="81" s="1"/>
  <c r="F110" i="98" s="1"/>
  <c r="E76" i="81"/>
  <c r="E70" i="98" s="1"/>
  <c r="D76" i="81"/>
  <c r="D70" i="98" s="1"/>
  <c r="C76" i="81"/>
  <c r="C70" i="98" s="1"/>
  <c r="B76" i="81"/>
  <c r="B70" i="98" s="1"/>
  <c r="F57" i="81"/>
  <c r="F56" i="81"/>
  <c r="F55" i="81"/>
  <c r="F54" i="81"/>
  <c r="F53" i="81"/>
  <c r="F52" i="81"/>
  <c r="E36" i="81"/>
  <c r="F16" i="81" s="1"/>
  <c r="D36" i="81"/>
  <c r="D24" i="98" s="1"/>
  <c r="C36" i="81"/>
  <c r="C24" i="98" s="1"/>
  <c r="B36" i="81"/>
  <c r="B24" i="98" s="1"/>
  <c r="F13" i="81"/>
  <c r="E116" i="83"/>
  <c r="F96" i="83" s="1"/>
  <c r="D116" i="83"/>
  <c r="D111" i="98" s="1"/>
  <c r="C116" i="83"/>
  <c r="C111" i="98" s="1"/>
  <c r="B116" i="83"/>
  <c r="F97" i="83"/>
  <c r="F93" i="83"/>
  <c r="E76" i="83"/>
  <c r="E71" i="98" s="1"/>
  <c r="D76" i="83"/>
  <c r="C76" i="83"/>
  <c r="B76" i="83"/>
  <c r="B71" i="98" s="1"/>
  <c r="F58" i="83"/>
  <c r="F57" i="83"/>
  <c r="F56" i="83"/>
  <c r="F55" i="83"/>
  <c r="F76" i="83" s="1"/>
  <c r="F71" i="98" s="1"/>
  <c r="F54" i="83"/>
  <c r="F53" i="83"/>
  <c r="F52" i="83"/>
  <c r="E36" i="83"/>
  <c r="E25" i="98" s="1"/>
  <c r="D36" i="83"/>
  <c r="D25" i="98" s="1"/>
  <c r="C36" i="83"/>
  <c r="B36" i="83"/>
  <c r="B25" i="98" s="1"/>
  <c r="F18" i="83"/>
  <c r="F17" i="83"/>
  <c r="F16" i="83"/>
  <c r="F15" i="83"/>
  <c r="F36" i="83" s="1"/>
  <c r="F25" i="98" s="1"/>
  <c r="F14" i="83"/>
  <c r="F13" i="83"/>
  <c r="F12" i="83"/>
  <c r="E116" i="69"/>
  <c r="F97" i="69" s="1"/>
  <c r="D116" i="69"/>
  <c r="C116" i="69"/>
  <c r="C112" i="98" s="1"/>
  <c r="B116" i="69"/>
  <c r="B112" i="98" s="1"/>
  <c r="E76" i="69"/>
  <c r="F56" i="69" s="1"/>
  <c r="D76" i="69"/>
  <c r="C76" i="69"/>
  <c r="C72" i="98" s="1"/>
  <c r="B76" i="69"/>
  <c r="B72" i="98" s="1"/>
  <c r="E36" i="69"/>
  <c r="E26" i="98" s="1"/>
  <c r="D36" i="69"/>
  <c r="D26" i="98" s="1"/>
  <c r="C36" i="69"/>
  <c r="C26" i="98" s="1"/>
  <c r="B36" i="69"/>
  <c r="B26" i="98" s="1"/>
  <c r="F18" i="69"/>
  <c r="F17" i="69"/>
  <c r="F16" i="69"/>
  <c r="F15" i="69"/>
  <c r="F14" i="69"/>
  <c r="F13" i="69"/>
  <c r="F12" i="69"/>
  <c r="E116" i="85"/>
  <c r="E113" i="98" s="1"/>
  <c r="D116" i="85"/>
  <c r="C116" i="85"/>
  <c r="B116" i="85"/>
  <c r="B113" i="98" s="1"/>
  <c r="F98" i="85"/>
  <c r="F97" i="85"/>
  <c r="F96" i="85"/>
  <c r="F95" i="85"/>
  <c r="F116" i="85" s="1"/>
  <c r="F113" i="98" s="1"/>
  <c r="F94" i="85"/>
  <c r="F93" i="85"/>
  <c r="F92" i="85"/>
  <c r="E76" i="85"/>
  <c r="E73" i="98" s="1"/>
  <c r="D76" i="85"/>
  <c r="D73" i="98" s="1"/>
  <c r="C76" i="85"/>
  <c r="B76" i="85"/>
  <c r="B73" i="98" s="1"/>
  <c r="F58" i="85"/>
  <c r="F57" i="85"/>
  <c r="F56" i="85"/>
  <c r="F55" i="85"/>
  <c r="F76" i="85" s="1"/>
  <c r="F73" i="98" s="1"/>
  <c r="F54" i="85"/>
  <c r="F53" i="85"/>
  <c r="F52" i="85"/>
  <c r="E36" i="85"/>
  <c r="F15" i="85" s="1"/>
  <c r="D36" i="85"/>
  <c r="D39" i="98" s="1"/>
  <c r="C36" i="85"/>
  <c r="C27" i="98" s="1"/>
  <c r="B36" i="85"/>
  <c r="B27" i="98" s="1"/>
  <c r="F18" i="85"/>
  <c r="F17" i="85"/>
  <c r="F16" i="85"/>
  <c r="F14" i="85"/>
  <c r="F13" i="85"/>
  <c r="F12" i="85"/>
  <c r="E116" i="38"/>
  <c r="E114" i="98" s="1"/>
  <c r="D116" i="38"/>
  <c r="D114" i="98" s="1"/>
  <c r="C116" i="38"/>
  <c r="C114" i="98" s="1"/>
  <c r="B116" i="38"/>
  <c r="F96" i="38"/>
  <c r="F95" i="38"/>
  <c r="F94" i="38"/>
  <c r="F93" i="38"/>
  <c r="F92" i="38"/>
  <c r="E76" i="38"/>
  <c r="F53" i="38" s="1"/>
  <c r="F76" i="38" s="1"/>
  <c r="F74" i="98" s="1"/>
  <c r="D76" i="38"/>
  <c r="D74" i="98" s="1"/>
  <c r="C76" i="38"/>
  <c r="C74" i="98" s="1"/>
  <c r="B76" i="38"/>
  <c r="B74" i="98" s="1"/>
  <c r="F56" i="38"/>
  <c r="F55" i="38"/>
  <c r="F54" i="38"/>
  <c r="F52" i="38"/>
  <c r="E36" i="38"/>
  <c r="F14" i="38" s="1"/>
  <c r="D36" i="38"/>
  <c r="D30" i="98" s="1"/>
  <c r="C36" i="38"/>
  <c r="C30" i="98" s="1"/>
  <c r="B36" i="38"/>
  <c r="B30" i="98" s="1"/>
  <c r="E116" i="45"/>
  <c r="E115" i="98" s="1"/>
  <c r="D116" i="45"/>
  <c r="D115" i="98" s="1"/>
  <c r="C116" i="45"/>
  <c r="C115" i="98" s="1"/>
  <c r="B116" i="45"/>
  <c r="B115" i="98" s="1"/>
  <c r="F96" i="45"/>
  <c r="F95" i="45"/>
  <c r="F94" i="45"/>
  <c r="F93" i="45"/>
  <c r="F92" i="45"/>
  <c r="F116" i="45" s="1"/>
  <c r="F115" i="98" s="1"/>
  <c r="E76" i="45"/>
  <c r="F55" i="45" s="1"/>
  <c r="D76" i="45"/>
  <c r="C76" i="45"/>
  <c r="B76" i="45"/>
  <c r="B75" i="98" s="1"/>
  <c r="E36" i="45"/>
  <c r="F14" i="45" s="1"/>
  <c r="D36" i="45"/>
  <c r="D31" i="98" s="1"/>
  <c r="C36" i="45"/>
  <c r="C31" i="98" s="1"/>
  <c r="B36" i="45"/>
  <c r="B31" i="98" s="1"/>
  <c r="F15" i="45"/>
  <c r="E116" i="47"/>
  <c r="E116" i="98" s="1"/>
  <c r="D116" i="47"/>
  <c r="D116" i="98" s="1"/>
  <c r="C116" i="47"/>
  <c r="C116" i="98" s="1"/>
  <c r="B116" i="47"/>
  <c r="B116" i="98" s="1"/>
  <c r="F96" i="47"/>
  <c r="F95" i="47"/>
  <c r="F94" i="47"/>
  <c r="F93" i="47"/>
  <c r="F92" i="47"/>
  <c r="E76" i="47"/>
  <c r="D76" i="47"/>
  <c r="D76" i="98" s="1"/>
  <c r="C76" i="47"/>
  <c r="C76" i="98" s="1"/>
  <c r="B76" i="47"/>
  <c r="F56" i="47"/>
  <c r="F55" i="47"/>
  <c r="F54" i="47"/>
  <c r="F53" i="47"/>
  <c r="F52" i="47"/>
  <c r="E36" i="47"/>
  <c r="F15" i="47" s="1"/>
  <c r="D36" i="47"/>
  <c r="D32" i="98" s="1"/>
  <c r="C36" i="47"/>
  <c r="C32" i="98" s="1"/>
  <c r="B36" i="47"/>
  <c r="B32" i="98" s="1"/>
  <c r="F12" i="47"/>
  <c r="E116" i="49"/>
  <c r="E117" i="98" s="1"/>
  <c r="D116" i="49"/>
  <c r="D117" i="98" s="1"/>
  <c r="C116" i="49"/>
  <c r="B116" i="49"/>
  <c r="F95" i="49"/>
  <c r="E76" i="49"/>
  <c r="E77" i="98" s="1"/>
  <c r="D76" i="49"/>
  <c r="D77" i="98" s="1"/>
  <c r="C76" i="49"/>
  <c r="C77" i="98" s="1"/>
  <c r="B76" i="49"/>
  <c r="B77" i="98" s="1"/>
  <c r="F56" i="49"/>
  <c r="F55" i="49"/>
  <c r="F54" i="49"/>
  <c r="F53" i="49"/>
  <c r="F52" i="49"/>
  <c r="E36" i="49"/>
  <c r="F13" i="49" s="1"/>
  <c r="D36" i="49"/>
  <c r="D33" i="98" s="1"/>
  <c r="C36" i="49"/>
  <c r="C33" i="98" s="1"/>
  <c r="B36" i="49"/>
  <c r="B33" i="98" s="1"/>
  <c r="E116" i="41"/>
  <c r="E118" i="98" s="1"/>
  <c r="D116" i="41"/>
  <c r="D118" i="98" s="1"/>
  <c r="C116" i="41"/>
  <c r="C118" i="98" s="1"/>
  <c r="B116" i="41"/>
  <c r="B118" i="98" s="1"/>
  <c r="F96" i="41"/>
  <c r="F95" i="41"/>
  <c r="F94" i="41"/>
  <c r="F93" i="41"/>
  <c r="F92" i="41"/>
  <c r="E76" i="41"/>
  <c r="E78" i="98" s="1"/>
  <c r="D76" i="41"/>
  <c r="D78" i="98" s="1"/>
  <c r="C76" i="41"/>
  <c r="C78" i="98" s="1"/>
  <c r="B76" i="41"/>
  <c r="B78" i="98" s="1"/>
  <c r="F56" i="41"/>
  <c r="F55" i="41"/>
  <c r="F54" i="41"/>
  <c r="F53" i="41"/>
  <c r="F52" i="41"/>
  <c r="E36" i="41"/>
  <c r="F14" i="41" s="1"/>
  <c r="D36" i="41"/>
  <c r="D40" i="98" s="1"/>
  <c r="C36" i="41"/>
  <c r="C40" i="98" s="1"/>
  <c r="B36" i="41"/>
  <c r="B40" i="98" s="1"/>
  <c r="F15" i="41"/>
  <c r="E116" i="99"/>
  <c r="E119" i="98" s="1"/>
  <c r="D116" i="99"/>
  <c r="D119" i="98" s="1"/>
  <c r="C116" i="99"/>
  <c r="C119" i="98" s="1"/>
  <c r="B116" i="99"/>
  <c r="B119" i="98" s="1"/>
  <c r="F97" i="99"/>
  <c r="F96" i="99"/>
  <c r="F95" i="99"/>
  <c r="F94" i="99"/>
  <c r="F93" i="99"/>
  <c r="F92" i="99"/>
  <c r="F116" i="99" s="1"/>
  <c r="F119" i="98" s="1"/>
  <c r="F76" i="99"/>
  <c r="E76" i="99"/>
  <c r="D76" i="99"/>
  <c r="C76" i="99"/>
  <c r="B76" i="99"/>
  <c r="E36" i="99"/>
  <c r="E36" i="98" s="1"/>
  <c r="D36" i="99"/>
  <c r="D36" i="98" s="1"/>
  <c r="C36" i="99"/>
  <c r="C36" i="98" s="1"/>
  <c r="B36" i="99"/>
  <c r="B36" i="98" s="1"/>
  <c r="F17" i="99"/>
  <c r="F16" i="99"/>
  <c r="F15" i="99"/>
  <c r="F14" i="99"/>
  <c r="F13" i="99"/>
  <c r="F12" i="99"/>
  <c r="E116" i="5"/>
  <c r="F93" i="5" s="1"/>
  <c r="D116" i="5"/>
  <c r="C116" i="5"/>
  <c r="C120" i="98" s="1"/>
  <c r="B116" i="5"/>
  <c r="B120" i="98" s="1"/>
  <c r="E76" i="5"/>
  <c r="F53" i="5" s="1"/>
  <c r="D76" i="5"/>
  <c r="D80" i="98" s="1"/>
  <c r="C76" i="5"/>
  <c r="C80" i="98" s="1"/>
  <c r="B76" i="5"/>
  <c r="B80" i="98" s="1"/>
  <c r="E36" i="5"/>
  <c r="F13" i="5" s="1"/>
  <c r="D36" i="5"/>
  <c r="C36" i="5"/>
  <c r="C41" i="98" s="1"/>
  <c r="B36" i="5"/>
  <c r="B41" i="98" s="1"/>
  <c r="E116" i="6"/>
  <c r="E121" i="98" s="1"/>
  <c r="D116" i="6"/>
  <c r="D121" i="98" s="1"/>
  <c r="C116" i="6"/>
  <c r="C121" i="98" s="1"/>
  <c r="B116" i="6"/>
  <c r="F97" i="6"/>
  <c r="F96" i="6"/>
  <c r="F95" i="6"/>
  <c r="F94" i="6"/>
  <c r="F92" i="6"/>
  <c r="E76" i="6"/>
  <c r="F56" i="6" s="1"/>
  <c r="D76" i="6"/>
  <c r="D81" i="98" s="1"/>
  <c r="C76" i="6"/>
  <c r="C81" i="98" s="1"/>
  <c r="B76" i="6"/>
  <c r="B81" i="98" s="1"/>
  <c r="E36" i="6"/>
  <c r="E42" i="98" s="1"/>
  <c r="D36" i="6"/>
  <c r="D42" i="98" s="1"/>
  <c r="C36" i="6"/>
  <c r="C42" i="98" s="1"/>
  <c r="B36" i="6"/>
  <c r="B42" i="98" s="1"/>
  <c r="F17" i="6"/>
  <c r="F15" i="6"/>
  <c r="F12" i="6"/>
  <c r="E116" i="7"/>
  <c r="F96" i="7" s="1"/>
  <c r="D116" i="7"/>
  <c r="D122" i="98" s="1"/>
  <c r="C116" i="7"/>
  <c r="C122" i="98" s="1"/>
  <c r="B116" i="7"/>
  <c r="E76" i="7"/>
  <c r="E82" i="98" s="1"/>
  <c r="D76" i="7"/>
  <c r="D82" i="98" s="1"/>
  <c r="C76" i="7"/>
  <c r="C82" i="98" s="1"/>
  <c r="B76" i="7"/>
  <c r="B82" i="98" s="1"/>
  <c r="F58" i="7"/>
  <c r="F54" i="7"/>
  <c r="F53" i="7"/>
  <c r="F52" i="7"/>
  <c r="E36" i="7"/>
  <c r="F15" i="7" s="1"/>
  <c r="D36" i="7"/>
  <c r="D43" i="98" s="1"/>
  <c r="C36" i="7"/>
  <c r="C43" i="98" s="1"/>
  <c r="B36" i="7"/>
  <c r="B43" i="98" s="1"/>
  <c r="F18" i="7"/>
  <c r="F17" i="7"/>
  <c r="F16" i="7"/>
  <c r="F14" i="7"/>
  <c r="F13" i="7"/>
  <c r="F12" i="7"/>
  <c r="E116" i="9"/>
  <c r="F96" i="9" s="1"/>
  <c r="D116" i="9"/>
  <c r="D123" i="98" s="1"/>
  <c r="C116" i="9"/>
  <c r="C123" i="98" s="1"/>
  <c r="B116" i="9"/>
  <c r="B123" i="98" s="1"/>
  <c r="E76" i="9"/>
  <c r="F55" i="9" s="1"/>
  <c r="D76" i="9"/>
  <c r="D83" i="98" s="1"/>
  <c r="C76" i="9"/>
  <c r="C83" i="98" s="1"/>
  <c r="B76" i="9"/>
  <c r="B83" i="98" s="1"/>
  <c r="F52" i="9"/>
  <c r="E36" i="9"/>
  <c r="F14" i="9" s="1"/>
  <c r="D36" i="9"/>
  <c r="D44" i="98" s="1"/>
  <c r="C36" i="9"/>
  <c r="C44" i="98" s="1"/>
  <c r="B36" i="9"/>
  <c r="F17" i="9"/>
  <c r="F15" i="9"/>
  <c r="F13" i="9"/>
  <c r="E116" i="8"/>
  <c r="F92" i="8" s="1"/>
  <c r="D116" i="8"/>
  <c r="D124" i="98" s="1"/>
  <c r="C116" i="8"/>
  <c r="C124" i="98" s="1"/>
  <c r="B116" i="8"/>
  <c r="B124" i="98" s="1"/>
  <c r="E76" i="8"/>
  <c r="F52" i="8" s="1"/>
  <c r="D76" i="8"/>
  <c r="D84" i="98" s="1"/>
  <c r="C76" i="8"/>
  <c r="C84" i="98" s="1"/>
  <c r="B76" i="8"/>
  <c r="B84" i="98" s="1"/>
  <c r="F36" i="8"/>
  <c r="F45" i="98" s="1"/>
  <c r="E36" i="8"/>
  <c r="D36" i="8"/>
  <c r="D45" i="98" s="1"/>
  <c r="C36" i="8"/>
  <c r="C45" i="98" s="1"/>
  <c r="B36" i="8"/>
  <c r="B45" i="98" s="1"/>
  <c r="F13" i="8"/>
  <c r="F12" i="8"/>
  <c r="E116" i="68"/>
  <c r="F95" i="68" s="1"/>
  <c r="D116" i="68"/>
  <c r="C116" i="68"/>
  <c r="C125" i="98" s="1"/>
  <c r="B116" i="68"/>
  <c r="F98" i="68"/>
  <c r="E76" i="68"/>
  <c r="F55" i="68" s="1"/>
  <c r="D76" i="68"/>
  <c r="D85" i="98" s="1"/>
  <c r="C76" i="68"/>
  <c r="C85" i="98" s="1"/>
  <c r="B76" i="68"/>
  <c r="B85" i="98" s="1"/>
  <c r="F58" i="68"/>
  <c r="F56" i="68"/>
  <c r="F54" i="68"/>
  <c r="F52" i="68"/>
  <c r="E36" i="68"/>
  <c r="F15" i="68" s="1"/>
  <c r="D36" i="68"/>
  <c r="D28" i="98" s="1"/>
  <c r="C36" i="68"/>
  <c r="C28" i="98" s="1"/>
  <c r="B36" i="68"/>
  <c r="B28" i="98" s="1"/>
  <c r="F18" i="68"/>
  <c r="F16" i="68"/>
  <c r="F14" i="68"/>
  <c r="F12" i="68"/>
  <c r="E116" i="10"/>
  <c r="F104" i="10" s="1"/>
  <c r="D116" i="10"/>
  <c r="C116" i="10"/>
  <c r="C97" i="98" s="1"/>
  <c r="B116" i="10"/>
  <c r="B97" i="98" s="1"/>
  <c r="F97" i="10"/>
  <c r="F93" i="10"/>
  <c r="E76" i="10"/>
  <c r="F62" i="10" s="1"/>
  <c r="D76" i="10"/>
  <c r="D57" i="98" s="1"/>
  <c r="C76" i="10"/>
  <c r="B76" i="10"/>
  <c r="F64" i="10"/>
  <c r="F60" i="10"/>
  <c r="F56" i="10"/>
  <c r="F52" i="10"/>
  <c r="E36" i="10"/>
  <c r="F24" i="10" s="1"/>
  <c r="D36" i="10"/>
  <c r="D12" i="98" s="1"/>
  <c r="C36" i="10"/>
  <c r="C12" i="98" s="1"/>
  <c r="B36" i="10"/>
  <c r="B12" i="98" s="1"/>
  <c r="F17" i="10"/>
  <c r="F13" i="10"/>
  <c r="P53" i="100" l="1"/>
  <c r="P92" i="100"/>
  <c r="P93" i="100"/>
  <c r="P14" i="100"/>
  <c r="U92" i="100"/>
  <c r="U93" i="100"/>
  <c r="U95" i="100"/>
  <c r="U97" i="100"/>
  <c r="F76" i="9"/>
  <c r="F83" i="98" s="1"/>
  <c r="F56" i="9"/>
  <c r="F56" i="7"/>
  <c r="F57" i="7"/>
  <c r="F55" i="7"/>
  <c r="F76" i="7" s="1"/>
  <c r="F82" i="98" s="1"/>
  <c r="F93" i="7"/>
  <c r="F97" i="7"/>
  <c r="E122" i="98"/>
  <c r="F93" i="8"/>
  <c r="F116" i="8" s="1"/>
  <c r="F124" i="98" s="1"/>
  <c r="E124" i="98"/>
  <c r="F53" i="8"/>
  <c r="F76" i="8" s="1"/>
  <c r="F84" i="98" s="1"/>
  <c r="E84" i="98"/>
  <c r="E123" i="98"/>
  <c r="F54" i="9"/>
  <c r="F53" i="9"/>
  <c r="F57" i="9"/>
  <c r="E44" i="98"/>
  <c r="F95" i="7"/>
  <c r="F94" i="7"/>
  <c r="F98" i="7"/>
  <c r="F92" i="7"/>
  <c r="F116" i="6"/>
  <c r="F121" i="98" s="1"/>
  <c r="E81" i="98"/>
  <c r="F14" i="6"/>
  <c r="F36" i="6" s="1"/>
  <c r="F42" i="98" s="1"/>
  <c r="F16" i="6"/>
  <c r="E120" i="98"/>
  <c r="E80" i="98"/>
  <c r="E41" i="98"/>
  <c r="F36" i="99"/>
  <c r="F36" i="98" s="1"/>
  <c r="E34" i="98"/>
  <c r="F16" i="41"/>
  <c r="F13" i="41"/>
  <c r="C34" i="98"/>
  <c r="F12" i="41"/>
  <c r="D34" i="98"/>
  <c r="B34" i="98"/>
  <c r="F16" i="47"/>
  <c r="F13" i="47"/>
  <c r="F14" i="47"/>
  <c r="E32" i="98"/>
  <c r="F13" i="45"/>
  <c r="E31" i="98"/>
  <c r="F12" i="45"/>
  <c r="F36" i="45" s="1"/>
  <c r="F31" i="98" s="1"/>
  <c r="F16" i="45"/>
  <c r="F16" i="38"/>
  <c r="E30" i="98"/>
  <c r="F15" i="38"/>
  <c r="F13" i="38"/>
  <c r="F12" i="38"/>
  <c r="F36" i="38" s="1"/>
  <c r="F30" i="98" s="1"/>
  <c r="F116" i="41"/>
  <c r="F118" i="98" s="1"/>
  <c r="F76" i="41"/>
  <c r="F78" i="98" s="1"/>
  <c r="F14" i="49"/>
  <c r="E33" i="98"/>
  <c r="F15" i="49"/>
  <c r="F12" i="49"/>
  <c r="F16" i="49"/>
  <c r="F92" i="49"/>
  <c r="F96" i="49"/>
  <c r="F93" i="49"/>
  <c r="F94" i="49"/>
  <c r="F76" i="49"/>
  <c r="F77" i="98" s="1"/>
  <c r="F116" i="47"/>
  <c r="F116" i="98" s="1"/>
  <c r="F76" i="47"/>
  <c r="F76" i="98" s="1"/>
  <c r="F53" i="45"/>
  <c r="F54" i="45"/>
  <c r="E75" i="98"/>
  <c r="F52" i="45"/>
  <c r="F56" i="45"/>
  <c r="F116" i="38"/>
  <c r="F114" i="98" s="1"/>
  <c r="E74" i="98"/>
  <c r="F13" i="100"/>
  <c r="F17" i="100"/>
  <c r="J29" i="98"/>
  <c r="O29" i="98"/>
  <c r="P13" i="100"/>
  <c r="P17" i="100"/>
  <c r="F15" i="100"/>
  <c r="F12" i="100"/>
  <c r="F14" i="100"/>
  <c r="F16" i="100"/>
  <c r="F18" i="100"/>
  <c r="P57" i="100"/>
  <c r="P56" i="100"/>
  <c r="F57" i="100"/>
  <c r="E28" i="98"/>
  <c r="F92" i="68"/>
  <c r="F94" i="68"/>
  <c r="F96" i="68"/>
  <c r="E125" i="98"/>
  <c r="E85" i="98"/>
  <c r="E27" i="98"/>
  <c r="E39" i="98"/>
  <c r="F36" i="85"/>
  <c r="F39" i="98" s="1"/>
  <c r="D27" i="98"/>
  <c r="B39" i="98"/>
  <c r="C39" i="98"/>
  <c r="E22" i="98"/>
  <c r="F36" i="69"/>
  <c r="F26" i="98" s="1"/>
  <c r="F92" i="69"/>
  <c r="F96" i="69"/>
  <c r="F94" i="69"/>
  <c r="F98" i="69"/>
  <c r="F95" i="69"/>
  <c r="E112" i="98"/>
  <c r="F93" i="69"/>
  <c r="F58" i="69"/>
  <c r="F53" i="69"/>
  <c r="F57" i="69"/>
  <c r="F54" i="69"/>
  <c r="F55" i="69"/>
  <c r="E72" i="98"/>
  <c r="F52" i="69"/>
  <c r="F76" i="69" s="1"/>
  <c r="F72" i="98" s="1"/>
  <c r="F94" i="83"/>
  <c r="F98" i="83"/>
  <c r="F95" i="83"/>
  <c r="F92" i="83"/>
  <c r="E24" i="98"/>
  <c r="F76" i="81"/>
  <c r="F70" i="98" s="1"/>
  <c r="F93" i="32"/>
  <c r="F97" i="32"/>
  <c r="F94" i="32"/>
  <c r="F116" i="32"/>
  <c r="F108" i="98" s="1"/>
  <c r="E108" i="98"/>
  <c r="F76" i="32"/>
  <c r="F68" i="98" s="1"/>
  <c r="D105" i="98"/>
  <c r="C106" i="98"/>
  <c r="B107" i="98"/>
  <c r="E105" i="98"/>
  <c r="D106" i="98"/>
  <c r="E106" i="98"/>
  <c r="C65" i="98"/>
  <c r="B66" i="98"/>
  <c r="E67" i="98"/>
  <c r="E65" i="98"/>
  <c r="D66" i="98"/>
  <c r="E66" i="98"/>
  <c r="E20" i="98"/>
  <c r="E21" i="98"/>
  <c r="D21" i="98"/>
  <c r="B20" i="98"/>
  <c r="C20" i="98"/>
  <c r="F15" i="28"/>
  <c r="F13" i="28"/>
  <c r="F17" i="28"/>
  <c r="F14" i="28"/>
  <c r="F12" i="28"/>
  <c r="F16" i="28"/>
  <c r="F94" i="28"/>
  <c r="F116" i="28" s="1"/>
  <c r="F104" i="98" s="1"/>
  <c r="F95" i="28"/>
  <c r="E104" i="98"/>
  <c r="F92" i="28"/>
  <c r="E64" i="98"/>
  <c r="F14" i="24"/>
  <c r="F18" i="24"/>
  <c r="F12" i="24"/>
  <c r="F36" i="24" s="1"/>
  <c r="F16" i="24"/>
  <c r="D38" i="98"/>
  <c r="C18" i="98"/>
  <c r="F13" i="24"/>
  <c r="F17" i="24"/>
  <c r="E18" i="98"/>
  <c r="F15" i="24"/>
  <c r="B18" i="98"/>
  <c r="F93" i="24"/>
  <c r="F94" i="24"/>
  <c r="F97" i="24"/>
  <c r="E103" i="98"/>
  <c r="F17" i="22"/>
  <c r="F13" i="22"/>
  <c r="F15" i="22"/>
  <c r="E17" i="98"/>
  <c r="E102" i="98"/>
  <c r="E62" i="98"/>
  <c r="F54" i="22"/>
  <c r="F76" i="22" s="1"/>
  <c r="F62" i="98" s="1"/>
  <c r="D16" i="98"/>
  <c r="F55" i="15"/>
  <c r="F94" i="17"/>
  <c r="F98" i="17"/>
  <c r="F58" i="15"/>
  <c r="F96" i="17"/>
  <c r="F54" i="15"/>
  <c r="F76" i="15" s="1"/>
  <c r="F17" i="17"/>
  <c r="F56" i="15"/>
  <c r="F95" i="15"/>
  <c r="E60" i="98"/>
  <c r="F19" i="17"/>
  <c r="F99" i="15"/>
  <c r="E37" i="98"/>
  <c r="F16" i="17"/>
  <c r="E16" i="98"/>
  <c r="E100" i="98"/>
  <c r="F14" i="17"/>
  <c r="F97" i="15"/>
  <c r="E15" i="98"/>
  <c r="E61" i="98"/>
  <c r="B37" i="98"/>
  <c r="C37" i="98"/>
  <c r="E99" i="98"/>
  <c r="E59" i="98"/>
  <c r="B35" i="98"/>
  <c r="C35" i="98"/>
  <c r="D14" i="98"/>
  <c r="E14" i="98"/>
  <c r="E35" i="98"/>
  <c r="F92" i="64"/>
  <c r="E98" i="98"/>
  <c r="F94" i="64"/>
  <c r="E58" i="98"/>
  <c r="F52" i="64"/>
  <c r="E13" i="98"/>
  <c r="F21" i="10"/>
  <c r="F25" i="10"/>
  <c r="F18" i="10"/>
  <c r="F22" i="10"/>
  <c r="F15" i="10"/>
  <c r="F19" i="10"/>
  <c r="F23" i="10"/>
  <c r="E12" i="98"/>
  <c r="F14" i="10"/>
  <c r="F12" i="10"/>
  <c r="F16" i="10"/>
  <c r="F20" i="10"/>
  <c r="F55" i="10"/>
  <c r="F59" i="10"/>
  <c r="F63" i="10"/>
  <c r="E57" i="98"/>
  <c r="F53" i="10"/>
  <c r="F76" i="10" s="1"/>
  <c r="F57" i="98" s="1"/>
  <c r="F57" i="10"/>
  <c r="F61" i="10"/>
  <c r="F65" i="10"/>
  <c r="F54" i="10"/>
  <c r="F58" i="10"/>
  <c r="B3" i="6"/>
  <c r="B3" i="47"/>
  <c r="B3" i="83"/>
  <c r="B3" i="24"/>
  <c r="B3" i="64"/>
  <c r="B3" i="68"/>
  <c r="B3" i="5"/>
  <c r="B3" i="45"/>
  <c r="F3" i="36"/>
  <c r="B3" i="22"/>
  <c r="B3" i="10"/>
  <c r="B3" i="8"/>
  <c r="B3" i="99"/>
  <c r="B3" i="85"/>
  <c r="B3" i="32"/>
  <c r="B3" i="17"/>
  <c r="B3" i="100"/>
  <c r="B3" i="9"/>
  <c r="B3" i="49"/>
  <c r="B3" i="69"/>
  <c r="B3" i="73"/>
  <c r="B3" i="13"/>
  <c r="F54" i="100"/>
  <c r="F53" i="100"/>
  <c r="F76" i="100" s="1"/>
  <c r="F56" i="100"/>
  <c r="P96" i="100"/>
  <c r="K13" i="100"/>
  <c r="K15" i="100"/>
  <c r="U18" i="100"/>
  <c r="U14" i="100"/>
  <c r="U58" i="100"/>
  <c r="U54" i="100"/>
  <c r="U12" i="100"/>
  <c r="U15" i="100"/>
  <c r="U16" i="100"/>
  <c r="U52" i="100"/>
  <c r="U55" i="100"/>
  <c r="U56" i="100"/>
  <c r="U13" i="100"/>
  <c r="U17" i="100"/>
  <c r="K16" i="100"/>
  <c r="K12" i="100"/>
  <c r="U53" i="100"/>
  <c r="U57" i="100"/>
  <c r="K56" i="100"/>
  <c r="K52" i="100"/>
  <c r="K96" i="100"/>
  <c r="K92" i="100"/>
  <c r="K95" i="100"/>
  <c r="P95" i="100"/>
  <c r="P98" i="100"/>
  <c r="P94" i="100"/>
  <c r="B3" i="7"/>
  <c r="B3" i="41"/>
  <c r="B3" i="38"/>
  <c r="B3" i="81"/>
  <c r="B3" i="28"/>
  <c r="B3" i="15"/>
  <c r="U94" i="100"/>
  <c r="F36" i="7"/>
  <c r="F43" i="98" s="1"/>
  <c r="F76" i="64"/>
  <c r="F58" i="98" s="1"/>
  <c r="F14" i="5"/>
  <c r="F54" i="5"/>
  <c r="F58" i="73"/>
  <c r="F94" i="73"/>
  <c r="F98" i="73"/>
  <c r="F57" i="28"/>
  <c r="F55" i="17"/>
  <c r="F58" i="13"/>
  <c r="F94" i="10"/>
  <c r="F98" i="10"/>
  <c r="F102" i="10"/>
  <c r="F13" i="68"/>
  <c r="F17" i="68"/>
  <c r="F36" i="68" s="1"/>
  <c r="F28" i="98" s="1"/>
  <c r="F53" i="68"/>
  <c r="F76" i="68" s="1"/>
  <c r="F85" i="98" s="1"/>
  <c r="F57" i="68"/>
  <c r="F93" i="68"/>
  <c r="F116" i="68" s="1"/>
  <c r="F125" i="98" s="1"/>
  <c r="F97" i="68"/>
  <c r="F12" i="9"/>
  <c r="F36" i="9" s="1"/>
  <c r="F44" i="98" s="1"/>
  <c r="F16" i="9"/>
  <c r="F94" i="9"/>
  <c r="F54" i="6"/>
  <c r="F14" i="81"/>
  <c r="F14" i="32"/>
  <c r="F15" i="73"/>
  <c r="F55" i="73"/>
  <c r="F95" i="73"/>
  <c r="F54" i="28"/>
  <c r="F12" i="22"/>
  <c r="F16" i="22"/>
  <c r="F94" i="22"/>
  <c r="F56" i="17"/>
  <c r="F16" i="15"/>
  <c r="F94" i="15"/>
  <c r="F116" i="15" s="1"/>
  <c r="F98" i="15"/>
  <c r="F15" i="13"/>
  <c r="F55" i="13"/>
  <c r="F95" i="13"/>
  <c r="F101" i="10"/>
  <c r="F105" i="10"/>
  <c r="F93" i="9"/>
  <c r="F97" i="9"/>
  <c r="F52" i="6"/>
  <c r="F94" i="5"/>
  <c r="F17" i="32"/>
  <c r="F14" i="73"/>
  <c r="F54" i="73"/>
  <c r="F93" i="22"/>
  <c r="F97" i="22"/>
  <c r="F19" i="15"/>
  <c r="F18" i="13"/>
  <c r="F98" i="13"/>
  <c r="F95" i="10"/>
  <c r="F99" i="10"/>
  <c r="F103" i="10"/>
  <c r="F95" i="9"/>
  <c r="F55" i="6"/>
  <c r="F12" i="5"/>
  <c r="F36" i="5" s="1"/>
  <c r="F41" i="98" s="1"/>
  <c r="F52" i="5"/>
  <c r="F76" i="5" s="1"/>
  <c r="F80" i="98" s="1"/>
  <c r="F92" i="5"/>
  <c r="F116" i="5" s="1"/>
  <c r="F120" i="98" s="1"/>
  <c r="F15" i="81"/>
  <c r="F15" i="32"/>
  <c r="F12" i="73"/>
  <c r="F16" i="73"/>
  <c r="F52" i="73"/>
  <c r="F56" i="73"/>
  <c r="F92" i="73"/>
  <c r="F96" i="73"/>
  <c r="F55" i="28"/>
  <c r="F95" i="22"/>
  <c r="F57" i="17"/>
  <c r="F17" i="15"/>
  <c r="F12" i="13"/>
  <c r="F16" i="13"/>
  <c r="F52" i="13"/>
  <c r="F56" i="13"/>
  <c r="F92" i="13"/>
  <c r="F96" i="13"/>
  <c r="F57" i="6"/>
  <c r="F17" i="81"/>
  <c r="F18" i="73"/>
  <c r="F59" i="17"/>
  <c r="F14" i="13"/>
  <c r="F54" i="13"/>
  <c r="F92" i="10"/>
  <c r="F96" i="10"/>
  <c r="F100" i="10"/>
  <c r="F92" i="9"/>
  <c r="F12" i="81"/>
  <c r="F12" i="32"/>
  <c r="F13" i="73"/>
  <c r="F53" i="73"/>
  <c r="F93" i="73"/>
  <c r="F52" i="28"/>
  <c r="F92" i="24"/>
  <c r="F92" i="22"/>
  <c r="F54" i="17"/>
  <c r="F76" i="17" s="1"/>
  <c r="F14" i="15"/>
  <c r="F13" i="13"/>
  <c r="F53" i="13"/>
  <c r="F93" i="13"/>
  <c r="U116" i="100" l="1"/>
  <c r="P76" i="100"/>
  <c r="P116" i="100"/>
  <c r="K76" i="100"/>
  <c r="F116" i="9"/>
  <c r="F123" i="98" s="1"/>
  <c r="F116" i="7"/>
  <c r="F122" i="98" s="1"/>
  <c r="F36" i="41"/>
  <c r="F40" i="98" s="1"/>
  <c r="F34" i="98"/>
  <c r="F36" i="47"/>
  <c r="F32" i="98" s="1"/>
  <c r="F36" i="49"/>
  <c r="F33" i="98" s="1"/>
  <c r="F116" i="49"/>
  <c r="F117" i="98" s="1"/>
  <c r="F76" i="45"/>
  <c r="F75" i="98" s="1"/>
  <c r="P36" i="100"/>
  <c r="P29" i="98" s="1"/>
  <c r="K36" i="100"/>
  <c r="K29" i="98" s="1"/>
  <c r="F36" i="100"/>
  <c r="F29" i="98" s="1"/>
  <c r="F27" i="98"/>
  <c r="F36" i="32"/>
  <c r="F22" i="98" s="1"/>
  <c r="F116" i="69"/>
  <c r="F112" i="98" s="1"/>
  <c r="F116" i="83"/>
  <c r="F111" i="98" s="1"/>
  <c r="F116" i="73"/>
  <c r="F36" i="28"/>
  <c r="F19" i="98" s="1"/>
  <c r="F18" i="98"/>
  <c r="F38" i="98"/>
  <c r="F116" i="24"/>
  <c r="F103" i="98" s="1"/>
  <c r="F116" i="22"/>
  <c r="F102" i="98" s="1"/>
  <c r="F36" i="15"/>
  <c r="F36" i="17"/>
  <c r="F37" i="98" s="1"/>
  <c r="F116" i="17"/>
  <c r="F101" i="98" s="1"/>
  <c r="F60" i="98"/>
  <c r="F16" i="98"/>
  <c r="F116" i="64"/>
  <c r="F98" i="98" s="1"/>
  <c r="F36" i="10"/>
  <c r="F12" i="98" s="1"/>
  <c r="U76" i="100"/>
  <c r="K116" i="100"/>
  <c r="U36" i="100"/>
  <c r="U29" i="98" s="1"/>
  <c r="F76" i="13"/>
  <c r="F59" i="98" s="1"/>
  <c r="F15" i="98"/>
  <c r="F100" i="98"/>
  <c r="F36" i="73"/>
  <c r="F76" i="6"/>
  <c r="F81" i="98" s="1"/>
  <c r="F76" i="28"/>
  <c r="F64" i="98" s="1"/>
  <c r="F61" i="98"/>
  <c r="F36" i="81"/>
  <c r="F24" i="98" s="1"/>
  <c r="F116" i="10"/>
  <c r="F97" i="98" s="1"/>
  <c r="F116" i="13"/>
  <c r="F99" i="98" s="1"/>
  <c r="F36" i="13"/>
  <c r="F76" i="73"/>
  <c r="F36" i="22"/>
  <c r="F17" i="98" s="1"/>
  <c r="Z101" i="10"/>
  <c r="Z61" i="10"/>
  <c r="F105" i="98" l="1"/>
  <c r="F106" i="98"/>
  <c r="F107" i="98"/>
  <c r="F65" i="98"/>
  <c r="F67" i="98"/>
  <c r="F66" i="98"/>
  <c r="F21" i="98"/>
  <c r="F20" i="98"/>
  <c r="F14" i="98"/>
  <c r="F35" i="98"/>
  <c r="I119" i="98"/>
  <c r="H111" i="98"/>
  <c r="J109" i="98"/>
  <c r="I109" i="98"/>
  <c r="G109" i="98"/>
  <c r="G108" i="98"/>
  <c r="J83" i="98"/>
  <c r="J79" i="98"/>
  <c r="J78" i="98"/>
  <c r="I75" i="98"/>
  <c r="H69" i="98"/>
  <c r="I66" i="98"/>
  <c r="I23" i="98"/>
  <c r="H23" i="98"/>
  <c r="H19" i="98"/>
  <c r="J116" i="10"/>
  <c r="I116" i="10"/>
  <c r="I97" i="98" s="1"/>
  <c r="H116" i="10"/>
  <c r="H97" i="98" s="1"/>
  <c r="G116" i="10"/>
  <c r="G97" i="98" s="1"/>
  <c r="J76" i="10"/>
  <c r="I76" i="10"/>
  <c r="I57" i="98" s="1"/>
  <c r="H76" i="10"/>
  <c r="H57" i="98" s="1"/>
  <c r="G76" i="10"/>
  <c r="G57" i="98" s="1"/>
  <c r="J36" i="10"/>
  <c r="I36" i="10"/>
  <c r="I12" i="98" s="1"/>
  <c r="H36" i="10"/>
  <c r="H12" i="98" s="1"/>
  <c r="G36" i="10"/>
  <c r="G12" i="98" s="1"/>
  <c r="J116" i="64"/>
  <c r="K93" i="64" s="1"/>
  <c r="I116" i="64"/>
  <c r="I98" i="98" s="1"/>
  <c r="H116" i="64"/>
  <c r="H98" i="98" s="1"/>
  <c r="G116" i="64"/>
  <c r="G98" i="98" s="1"/>
  <c r="J76" i="64"/>
  <c r="K53" i="64" s="1"/>
  <c r="I76" i="64"/>
  <c r="I58" i="98" s="1"/>
  <c r="H76" i="64"/>
  <c r="H58" i="98" s="1"/>
  <c r="G76" i="64"/>
  <c r="G58" i="98" s="1"/>
  <c r="K54" i="64"/>
  <c r="J36" i="64"/>
  <c r="K13" i="64" s="1"/>
  <c r="I36" i="64"/>
  <c r="I13" i="98" s="1"/>
  <c r="H36" i="64"/>
  <c r="H13" i="98" s="1"/>
  <c r="G36" i="64"/>
  <c r="G13" i="98" s="1"/>
  <c r="K14" i="64"/>
  <c r="J116" i="13"/>
  <c r="K97" i="13" s="1"/>
  <c r="I116" i="13"/>
  <c r="I99" i="98" s="1"/>
  <c r="H116" i="13"/>
  <c r="H99" i="98" s="1"/>
  <c r="G116" i="13"/>
  <c r="G99" i="98" s="1"/>
  <c r="J76" i="13"/>
  <c r="K57" i="13" s="1"/>
  <c r="I76" i="13"/>
  <c r="I59" i="98" s="1"/>
  <c r="H76" i="13"/>
  <c r="H59" i="98" s="1"/>
  <c r="G76" i="13"/>
  <c r="G59" i="98" s="1"/>
  <c r="K58" i="13"/>
  <c r="K54" i="13"/>
  <c r="J36" i="13"/>
  <c r="I36" i="13"/>
  <c r="H36" i="13"/>
  <c r="G36" i="13"/>
  <c r="K96" i="15"/>
  <c r="I100" i="98"/>
  <c r="H100" i="98"/>
  <c r="G100" i="98"/>
  <c r="K58" i="15"/>
  <c r="I60" i="98"/>
  <c r="H60" i="98"/>
  <c r="G60" i="98"/>
  <c r="K59" i="15"/>
  <c r="K18" i="15"/>
  <c r="I15" i="98"/>
  <c r="H15" i="98"/>
  <c r="G15" i="98"/>
  <c r="K97" i="17"/>
  <c r="I101" i="98"/>
  <c r="H101" i="98"/>
  <c r="G101" i="98"/>
  <c r="K58" i="17"/>
  <c r="I61" i="98"/>
  <c r="H61" i="98"/>
  <c r="G61" i="98"/>
  <c r="K59" i="17"/>
  <c r="K55" i="17"/>
  <c r="K18" i="17"/>
  <c r="J116" i="22"/>
  <c r="K93" i="22" s="1"/>
  <c r="I116" i="22"/>
  <c r="I102" i="98" s="1"/>
  <c r="H116" i="22"/>
  <c r="H102" i="98" s="1"/>
  <c r="G116" i="22"/>
  <c r="G102" i="98" s="1"/>
  <c r="J76" i="22"/>
  <c r="J62" i="98" s="1"/>
  <c r="I76" i="22"/>
  <c r="I62" i="98" s="1"/>
  <c r="H76" i="22"/>
  <c r="H62" i="98" s="1"/>
  <c r="G76" i="22"/>
  <c r="G62" i="98" s="1"/>
  <c r="K56" i="22"/>
  <c r="K52" i="22"/>
  <c r="J36" i="22"/>
  <c r="J17" i="98" s="1"/>
  <c r="I36" i="22"/>
  <c r="I17" i="98" s="1"/>
  <c r="H36" i="22"/>
  <c r="H17" i="98" s="1"/>
  <c r="G36" i="22"/>
  <c r="G17" i="98" s="1"/>
  <c r="K17" i="22"/>
  <c r="J116" i="24"/>
  <c r="K96" i="24" s="1"/>
  <c r="I116" i="24"/>
  <c r="I103" i="98" s="1"/>
  <c r="H116" i="24"/>
  <c r="H103" i="98" s="1"/>
  <c r="G116" i="24"/>
  <c r="G103" i="98" s="1"/>
  <c r="J76" i="24"/>
  <c r="K57" i="24" s="1"/>
  <c r="I76" i="24"/>
  <c r="I63" i="98" s="1"/>
  <c r="H76" i="24"/>
  <c r="H63" i="98" s="1"/>
  <c r="G76" i="24"/>
  <c r="G63" i="98" s="1"/>
  <c r="K58" i="24"/>
  <c r="K56" i="24"/>
  <c r="K54" i="24"/>
  <c r="K52" i="24"/>
  <c r="J36" i="24"/>
  <c r="I36" i="24"/>
  <c r="H36" i="24"/>
  <c r="G36" i="24"/>
  <c r="K18" i="24"/>
  <c r="K17" i="24"/>
  <c r="K16" i="24"/>
  <c r="K15" i="24"/>
  <c r="K14" i="24"/>
  <c r="K13" i="24"/>
  <c r="K12" i="24"/>
  <c r="J116" i="28"/>
  <c r="J104" i="98" s="1"/>
  <c r="I116" i="28"/>
  <c r="I104" i="98" s="1"/>
  <c r="H116" i="28"/>
  <c r="H104" i="98" s="1"/>
  <c r="G116" i="28"/>
  <c r="G104" i="98" s="1"/>
  <c r="K97" i="28"/>
  <c r="K95" i="28"/>
  <c r="K93" i="28"/>
  <c r="J76" i="28"/>
  <c r="J64" i="98" s="1"/>
  <c r="I76" i="28"/>
  <c r="I64" i="98" s="1"/>
  <c r="H76" i="28"/>
  <c r="H64" i="98" s="1"/>
  <c r="G76" i="28"/>
  <c r="G64" i="98" s="1"/>
  <c r="K57" i="28"/>
  <c r="K53" i="28"/>
  <c r="J36" i="28"/>
  <c r="J19" i="98" s="1"/>
  <c r="I36" i="28"/>
  <c r="I19" i="98" s="1"/>
  <c r="H36" i="28"/>
  <c r="G36" i="28"/>
  <c r="G19" i="98" s="1"/>
  <c r="K17" i="28"/>
  <c r="K16" i="28"/>
  <c r="K15" i="28"/>
  <c r="K14" i="28"/>
  <c r="K13" i="28"/>
  <c r="K12" i="28"/>
  <c r="K36" i="28" s="1"/>
  <c r="K19" i="98" s="1"/>
  <c r="J116" i="73"/>
  <c r="J105" i="98" s="1"/>
  <c r="I116" i="73"/>
  <c r="I106" i="98" s="1"/>
  <c r="H116" i="73"/>
  <c r="H107" i="98" s="1"/>
  <c r="G116" i="73"/>
  <c r="G107" i="98" s="1"/>
  <c r="K96" i="73"/>
  <c r="J76" i="73"/>
  <c r="J67" i="98" s="1"/>
  <c r="I76" i="73"/>
  <c r="I65" i="98" s="1"/>
  <c r="H76" i="73"/>
  <c r="H66" i="98" s="1"/>
  <c r="G76" i="73"/>
  <c r="G67" i="98" s="1"/>
  <c r="K58" i="73"/>
  <c r="K54" i="73"/>
  <c r="J36" i="73"/>
  <c r="K12" i="73" s="1"/>
  <c r="I36" i="73"/>
  <c r="H36" i="73"/>
  <c r="G36" i="73"/>
  <c r="G20" i="98" s="1"/>
  <c r="K18" i="73"/>
  <c r="K14" i="73"/>
  <c r="J116" i="32"/>
  <c r="J108" i="98" s="1"/>
  <c r="I116" i="32"/>
  <c r="I108" i="98" s="1"/>
  <c r="H116" i="32"/>
  <c r="H108" i="98" s="1"/>
  <c r="G116" i="32"/>
  <c r="K97" i="32"/>
  <c r="J76" i="32"/>
  <c r="K56" i="32" s="1"/>
  <c r="I76" i="32"/>
  <c r="I68" i="98" s="1"/>
  <c r="H76" i="32"/>
  <c r="H68" i="98" s="1"/>
  <c r="G76" i="32"/>
  <c r="G68" i="98" s="1"/>
  <c r="K57" i="32"/>
  <c r="J36" i="32"/>
  <c r="J22" i="98" s="1"/>
  <c r="I36" i="32"/>
  <c r="I22" i="98" s="1"/>
  <c r="H36" i="32"/>
  <c r="H22" i="98" s="1"/>
  <c r="G36" i="32"/>
  <c r="G22" i="98" s="1"/>
  <c r="K17" i="32"/>
  <c r="K13" i="32"/>
  <c r="K116" i="36"/>
  <c r="K109" i="98" s="1"/>
  <c r="J116" i="36"/>
  <c r="I116" i="36"/>
  <c r="H116" i="36"/>
  <c r="H109" i="98" s="1"/>
  <c r="G116" i="36"/>
  <c r="K76" i="36"/>
  <c r="K69" i="98" s="1"/>
  <c r="J76" i="36"/>
  <c r="J69" i="98" s="1"/>
  <c r="I76" i="36"/>
  <c r="I69" i="98" s="1"/>
  <c r="H76" i="36"/>
  <c r="G76" i="36"/>
  <c r="G69" i="98" s="1"/>
  <c r="K36" i="36"/>
  <c r="K23" i="98" s="1"/>
  <c r="J36" i="36"/>
  <c r="J23" i="98" s="1"/>
  <c r="I36" i="36"/>
  <c r="H36" i="36"/>
  <c r="G36" i="36"/>
  <c r="G23" i="98" s="1"/>
  <c r="J116" i="81"/>
  <c r="J110" i="98" s="1"/>
  <c r="I116" i="81"/>
  <c r="I110" i="98" s="1"/>
  <c r="H116" i="81"/>
  <c r="H110" i="98" s="1"/>
  <c r="G116" i="81"/>
  <c r="G110" i="98" s="1"/>
  <c r="J76" i="81"/>
  <c r="J70" i="98" s="1"/>
  <c r="I76" i="81"/>
  <c r="I70" i="98" s="1"/>
  <c r="H76" i="81"/>
  <c r="H70" i="98" s="1"/>
  <c r="G76" i="81"/>
  <c r="G70" i="98" s="1"/>
  <c r="J36" i="81"/>
  <c r="J24" i="98" s="1"/>
  <c r="I36" i="81"/>
  <c r="I24" i="98" s="1"/>
  <c r="H36" i="81"/>
  <c r="H24" i="98" s="1"/>
  <c r="G36" i="81"/>
  <c r="G24" i="98" s="1"/>
  <c r="K17" i="81"/>
  <c r="J116" i="83"/>
  <c r="K96" i="83" s="1"/>
  <c r="I116" i="83"/>
  <c r="I111" i="98" s="1"/>
  <c r="H116" i="83"/>
  <c r="G116" i="83"/>
  <c r="G111" i="98" s="1"/>
  <c r="K98" i="83"/>
  <c r="K97" i="83"/>
  <c r="K94" i="83"/>
  <c r="K93" i="83"/>
  <c r="J76" i="83"/>
  <c r="K56" i="83" s="1"/>
  <c r="I76" i="83"/>
  <c r="I71" i="98" s="1"/>
  <c r="H76" i="83"/>
  <c r="H71" i="98" s="1"/>
  <c r="G76" i="83"/>
  <c r="G71" i="98" s="1"/>
  <c r="J36" i="83"/>
  <c r="K16" i="83" s="1"/>
  <c r="I36" i="83"/>
  <c r="I25" i="98" s="1"/>
  <c r="H36" i="83"/>
  <c r="H25" i="98" s="1"/>
  <c r="G36" i="83"/>
  <c r="G25" i="98" s="1"/>
  <c r="J116" i="69"/>
  <c r="J112" i="98" s="1"/>
  <c r="I116" i="69"/>
  <c r="I112" i="98" s="1"/>
  <c r="H116" i="69"/>
  <c r="H112" i="98" s="1"/>
  <c r="G116" i="69"/>
  <c r="G112" i="98" s="1"/>
  <c r="K98" i="69"/>
  <c r="K97" i="69"/>
  <c r="K96" i="69"/>
  <c r="K95" i="69"/>
  <c r="K94" i="69"/>
  <c r="K93" i="69"/>
  <c r="K116" i="69" s="1"/>
  <c r="K112" i="98" s="1"/>
  <c r="K92" i="69"/>
  <c r="J76" i="69"/>
  <c r="K55" i="69" s="1"/>
  <c r="I76" i="69"/>
  <c r="I72" i="98" s="1"/>
  <c r="H76" i="69"/>
  <c r="H72" i="98" s="1"/>
  <c r="G76" i="69"/>
  <c r="G72" i="98" s="1"/>
  <c r="K58" i="69"/>
  <c r="K57" i="69"/>
  <c r="K56" i="69"/>
  <c r="K54" i="69"/>
  <c r="K53" i="69"/>
  <c r="K52" i="69"/>
  <c r="J36" i="69"/>
  <c r="K16" i="69" s="1"/>
  <c r="I36" i="69"/>
  <c r="I26" i="98" s="1"/>
  <c r="H36" i="69"/>
  <c r="H26" i="98" s="1"/>
  <c r="G36" i="69"/>
  <c r="G26" i="98" s="1"/>
  <c r="J116" i="85"/>
  <c r="K96" i="85" s="1"/>
  <c r="I116" i="85"/>
  <c r="I113" i="98" s="1"/>
  <c r="H116" i="85"/>
  <c r="H113" i="98" s="1"/>
  <c r="G116" i="85"/>
  <c r="G113" i="98" s="1"/>
  <c r="K98" i="85"/>
  <c r="K93" i="85"/>
  <c r="J76" i="85"/>
  <c r="J73" i="98" s="1"/>
  <c r="I76" i="85"/>
  <c r="I73" i="98" s="1"/>
  <c r="H76" i="85"/>
  <c r="H73" i="98" s="1"/>
  <c r="G76" i="85"/>
  <c r="G73" i="98" s="1"/>
  <c r="K58" i="85"/>
  <c r="K57" i="85"/>
  <c r="K56" i="85"/>
  <c r="K55" i="85"/>
  <c r="K54" i="85"/>
  <c r="K53" i="85"/>
  <c r="K52" i="85"/>
  <c r="J36" i="85"/>
  <c r="J27" i="98" s="1"/>
  <c r="I36" i="85"/>
  <c r="H36" i="85"/>
  <c r="G36" i="85"/>
  <c r="K17" i="85"/>
  <c r="K13" i="85"/>
  <c r="J116" i="38"/>
  <c r="J114" i="98" s="1"/>
  <c r="I116" i="38"/>
  <c r="I114" i="98" s="1"/>
  <c r="H116" i="38"/>
  <c r="H114" i="98" s="1"/>
  <c r="G116" i="38"/>
  <c r="G114" i="98" s="1"/>
  <c r="K96" i="38"/>
  <c r="K95" i="38"/>
  <c r="K94" i="38"/>
  <c r="K93" i="38"/>
  <c r="K92" i="38"/>
  <c r="J76" i="38"/>
  <c r="K54" i="38" s="1"/>
  <c r="I76" i="38"/>
  <c r="I74" i="98" s="1"/>
  <c r="H76" i="38"/>
  <c r="H74" i="98" s="1"/>
  <c r="G76" i="38"/>
  <c r="G74" i="98" s="1"/>
  <c r="J36" i="38"/>
  <c r="J30" i="98" s="1"/>
  <c r="I36" i="38"/>
  <c r="I30" i="98" s="1"/>
  <c r="H36" i="38"/>
  <c r="H30" i="98" s="1"/>
  <c r="G36" i="38"/>
  <c r="G30" i="98" s="1"/>
  <c r="K12" i="38"/>
  <c r="J116" i="45"/>
  <c r="J115" i="98" s="1"/>
  <c r="I116" i="45"/>
  <c r="I115" i="98" s="1"/>
  <c r="H116" i="45"/>
  <c r="H115" i="98" s="1"/>
  <c r="G116" i="45"/>
  <c r="G115" i="98" s="1"/>
  <c r="K96" i="45"/>
  <c r="K95" i="45"/>
  <c r="K94" i="45"/>
  <c r="K93" i="45"/>
  <c r="K92" i="45"/>
  <c r="J76" i="45"/>
  <c r="J75" i="98" s="1"/>
  <c r="I76" i="45"/>
  <c r="H76" i="45"/>
  <c r="H75" i="98" s="1"/>
  <c r="G76" i="45"/>
  <c r="G75" i="98" s="1"/>
  <c r="K56" i="45"/>
  <c r="K55" i="45"/>
  <c r="K54" i="45"/>
  <c r="K53" i="45"/>
  <c r="K52" i="45"/>
  <c r="J36" i="45"/>
  <c r="K15" i="45" s="1"/>
  <c r="I36" i="45"/>
  <c r="I31" i="98" s="1"/>
  <c r="H36" i="45"/>
  <c r="H31" i="98" s="1"/>
  <c r="G36" i="45"/>
  <c r="G31" i="98" s="1"/>
  <c r="K16" i="45"/>
  <c r="K14" i="45"/>
  <c r="K13" i="45"/>
  <c r="K12" i="45"/>
  <c r="J116" i="47"/>
  <c r="K95" i="47" s="1"/>
  <c r="I116" i="47"/>
  <c r="I116" i="98" s="1"/>
  <c r="H116" i="47"/>
  <c r="H116" i="98" s="1"/>
  <c r="G116" i="47"/>
  <c r="G116" i="98" s="1"/>
  <c r="J76" i="47"/>
  <c r="J76" i="98" s="1"/>
  <c r="I76" i="47"/>
  <c r="I76" i="98" s="1"/>
  <c r="H76" i="47"/>
  <c r="H76" i="98" s="1"/>
  <c r="G76" i="47"/>
  <c r="G76" i="98" s="1"/>
  <c r="K56" i="47"/>
  <c r="K55" i="47"/>
  <c r="K54" i="47"/>
  <c r="K53" i="47"/>
  <c r="K52" i="47"/>
  <c r="J36" i="47"/>
  <c r="J32" i="98" s="1"/>
  <c r="I36" i="47"/>
  <c r="I32" i="98" s="1"/>
  <c r="H36" i="47"/>
  <c r="H32" i="98" s="1"/>
  <c r="G36" i="47"/>
  <c r="G32" i="98" s="1"/>
  <c r="K12" i="47"/>
  <c r="J116" i="49"/>
  <c r="J117" i="98" s="1"/>
  <c r="I116" i="49"/>
  <c r="I117" i="98" s="1"/>
  <c r="H116" i="49"/>
  <c r="H117" i="98" s="1"/>
  <c r="G116" i="49"/>
  <c r="G117" i="98" s="1"/>
  <c r="K96" i="49"/>
  <c r="K95" i="49"/>
  <c r="K94" i="49"/>
  <c r="K93" i="49"/>
  <c r="K92" i="49"/>
  <c r="J76" i="49"/>
  <c r="K54" i="49" s="1"/>
  <c r="I76" i="49"/>
  <c r="I77" i="98" s="1"/>
  <c r="H76" i="49"/>
  <c r="H77" i="98" s="1"/>
  <c r="G76" i="49"/>
  <c r="G77" i="98" s="1"/>
  <c r="J36" i="49"/>
  <c r="J33" i="98" s="1"/>
  <c r="I36" i="49"/>
  <c r="I33" i="98" s="1"/>
  <c r="H36" i="49"/>
  <c r="H33" i="98" s="1"/>
  <c r="G36" i="49"/>
  <c r="G33" i="98" s="1"/>
  <c r="J116" i="41"/>
  <c r="K94" i="41" s="1"/>
  <c r="I116" i="41"/>
  <c r="I118" i="98" s="1"/>
  <c r="H116" i="41"/>
  <c r="H118" i="98" s="1"/>
  <c r="G116" i="41"/>
  <c r="G118" i="98" s="1"/>
  <c r="J76" i="41"/>
  <c r="K54" i="41" s="1"/>
  <c r="I76" i="41"/>
  <c r="I78" i="98" s="1"/>
  <c r="H76" i="41"/>
  <c r="H78" i="98" s="1"/>
  <c r="G76" i="41"/>
  <c r="G78" i="98" s="1"/>
  <c r="K55" i="41"/>
  <c r="J36" i="41"/>
  <c r="I36" i="41"/>
  <c r="H36" i="41"/>
  <c r="G36" i="41"/>
  <c r="J116" i="99"/>
  <c r="I116" i="99"/>
  <c r="H116" i="99"/>
  <c r="H119" i="98" s="1"/>
  <c r="G116" i="99"/>
  <c r="G119" i="98" s="1"/>
  <c r="K76" i="99"/>
  <c r="K79" i="98" s="1"/>
  <c r="J76" i="99"/>
  <c r="I76" i="99"/>
  <c r="I79" i="98" s="1"/>
  <c r="H76" i="99"/>
  <c r="H79" i="98" s="1"/>
  <c r="G76" i="99"/>
  <c r="G79" i="98" s="1"/>
  <c r="J36" i="99"/>
  <c r="I36" i="99"/>
  <c r="I36" i="98" s="1"/>
  <c r="H36" i="99"/>
  <c r="H36" i="98" s="1"/>
  <c r="G36" i="99"/>
  <c r="G36" i="98" s="1"/>
  <c r="J116" i="5"/>
  <c r="K93" i="5" s="1"/>
  <c r="I116" i="5"/>
  <c r="I120" i="98" s="1"/>
  <c r="H116" i="5"/>
  <c r="H120" i="98" s="1"/>
  <c r="G116" i="5"/>
  <c r="G120" i="98" s="1"/>
  <c r="K94" i="5"/>
  <c r="J76" i="5"/>
  <c r="K53" i="5" s="1"/>
  <c r="I76" i="5"/>
  <c r="I80" i="98" s="1"/>
  <c r="H76" i="5"/>
  <c r="H80" i="98" s="1"/>
  <c r="G76" i="5"/>
  <c r="G80" i="98" s="1"/>
  <c r="J36" i="5"/>
  <c r="K13" i="5" s="1"/>
  <c r="I36" i="5"/>
  <c r="I41" i="98" s="1"/>
  <c r="H36" i="5"/>
  <c r="H41" i="98" s="1"/>
  <c r="G36" i="5"/>
  <c r="G41" i="98" s="1"/>
  <c r="J116" i="6"/>
  <c r="J121" i="98" s="1"/>
  <c r="I116" i="6"/>
  <c r="I121" i="98" s="1"/>
  <c r="H116" i="6"/>
  <c r="H121" i="98" s="1"/>
  <c r="G116" i="6"/>
  <c r="G121" i="98" s="1"/>
  <c r="K97" i="6"/>
  <c r="J76" i="6"/>
  <c r="J81" i="98" s="1"/>
  <c r="I76" i="6"/>
  <c r="I81" i="98" s="1"/>
  <c r="H76" i="6"/>
  <c r="H81" i="98" s="1"/>
  <c r="G76" i="6"/>
  <c r="G81" i="98" s="1"/>
  <c r="K57" i="6"/>
  <c r="J36" i="6"/>
  <c r="K15" i="6" s="1"/>
  <c r="I36" i="6"/>
  <c r="I42" i="98" s="1"/>
  <c r="H36" i="6"/>
  <c r="H42" i="98" s="1"/>
  <c r="G36" i="6"/>
  <c r="G42" i="98" s="1"/>
  <c r="J116" i="7"/>
  <c r="J122" i="98" s="1"/>
  <c r="I116" i="7"/>
  <c r="I122" i="98" s="1"/>
  <c r="H116" i="7"/>
  <c r="H122" i="98" s="1"/>
  <c r="G116" i="7"/>
  <c r="G122" i="98" s="1"/>
  <c r="K98" i="7"/>
  <c r="J76" i="7"/>
  <c r="J82" i="98" s="1"/>
  <c r="I76" i="7"/>
  <c r="I82" i="98" s="1"/>
  <c r="H76" i="7"/>
  <c r="H82" i="98" s="1"/>
  <c r="G76" i="7"/>
  <c r="G82" i="98" s="1"/>
  <c r="J36" i="7"/>
  <c r="J43" i="98" s="1"/>
  <c r="I36" i="7"/>
  <c r="I43" i="98" s="1"/>
  <c r="H36" i="7"/>
  <c r="H43" i="98" s="1"/>
  <c r="G36" i="7"/>
  <c r="G43" i="98" s="1"/>
  <c r="K18" i="7"/>
  <c r="K16" i="7"/>
  <c r="K12" i="7"/>
  <c r="J116" i="9"/>
  <c r="K93" i="9" s="1"/>
  <c r="I116" i="9"/>
  <c r="I123" i="98" s="1"/>
  <c r="H116" i="9"/>
  <c r="H123" i="98" s="1"/>
  <c r="G116" i="9"/>
  <c r="G123" i="98" s="1"/>
  <c r="K95" i="9"/>
  <c r="J76" i="9"/>
  <c r="I76" i="9"/>
  <c r="I83" i="98" s="1"/>
  <c r="H76" i="9"/>
  <c r="H83" i="98" s="1"/>
  <c r="G76" i="9"/>
  <c r="G83" i="98" s="1"/>
  <c r="K57" i="9"/>
  <c r="K56" i="9"/>
  <c r="K55" i="9"/>
  <c r="K54" i="9"/>
  <c r="K53" i="9"/>
  <c r="K52" i="9"/>
  <c r="J36" i="9"/>
  <c r="J44" i="98" s="1"/>
  <c r="I36" i="9"/>
  <c r="I44" i="98" s="1"/>
  <c r="H36" i="9"/>
  <c r="H44" i="98" s="1"/>
  <c r="G36" i="9"/>
  <c r="G44" i="98" s="1"/>
  <c r="K17" i="9"/>
  <c r="J116" i="8"/>
  <c r="J124" i="98" s="1"/>
  <c r="I116" i="8"/>
  <c r="I124" i="98" s="1"/>
  <c r="H116" i="8"/>
  <c r="H124" i="98" s="1"/>
  <c r="G116" i="8"/>
  <c r="G124" i="98" s="1"/>
  <c r="K93" i="8"/>
  <c r="K92" i="8"/>
  <c r="K116" i="8" s="1"/>
  <c r="K124" i="98" s="1"/>
  <c r="J76" i="8"/>
  <c r="K52" i="8" s="1"/>
  <c r="I76" i="8"/>
  <c r="I84" i="98" s="1"/>
  <c r="H76" i="8"/>
  <c r="H84" i="98" s="1"/>
  <c r="G76" i="8"/>
  <c r="G84" i="98" s="1"/>
  <c r="K53" i="8"/>
  <c r="J36" i="8"/>
  <c r="K12" i="8" s="1"/>
  <c r="I36" i="8"/>
  <c r="I45" i="98" s="1"/>
  <c r="H36" i="8"/>
  <c r="H45" i="98" s="1"/>
  <c r="G36" i="8"/>
  <c r="G45" i="98" s="1"/>
  <c r="J116" i="68"/>
  <c r="J125" i="98" s="1"/>
  <c r="I116" i="68"/>
  <c r="I125" i="98" s="1"/>
  <c r="H116" i="68"/>
  <c r="H125" i="98" s="1"/>
  <c r="G116" i="68"/>
  <c r="G125" i="98" s="1"/>
  <c r="K98" i="68"/>
  <c r="K96" i="68"/>
  <c r="K94" i="68"/>
  <c r="K92" i="68"/>
  <c r="J76" i="68"/>
  <c r="J85" i="98" s="1"/>
  <c r="I76" i="68"/>
  <c r="I85" i="98" s="1"/>
  <c r="H76" i="68"/>
  <c r="H85" i="98" s="1"/>
  <c r="G76" i="68"/>
  <c r="G85" i="98" s="1"/>
  <c r="K58" i="68"/>
  <c r="K56" i="68"/>
  <c r="K54" i="68"/>
  <c r="K52" i="68"/>
  <c r="J36" i="68"/>
  <c r="J28" i="98" s="1"/>
  <c r="I36" i="68"/>
  <c r="I28" i="98" s="1"/>
  <c r="H36" i="68"/>
  <c r="H28" i="98" s="1"/>
  <c r="G36" i="68"/>
  <c r="G28" i="98" s="1"/>
  <c r="K18" i="68"/>
  <c r="K16" i="68"/>
  <c r="K14" i="68"/>
  <c r="K12" i="68"/>
  <c r="Z119" i="98"/>
  <c r="Y119" i="98"/>
  <c r="X119" i="98"/>
  <c r="W119" i="98"/>
  <c r="V119" i="98"/>
  <c r="Z79" i="98"/>
  <c r="Y79" i="98"/>
  <c r="X79" i="98"/>
  <c r="W79" i="98"/>
  <c r="V79" i="98"/>
  <c r="Q79" i="98"/>
  <c r="P79" i="98"/>
  <c r="L79" i="98"/>
  <c r="Z36" i="98"/>
  <c r="Y36" i="98"/>
  <c r="X36" i="98"/>
  <c r="W36" i="98"/>
  <c r="V36" i="98"/>
  <c r="M36" i="98"/>
  <c r="A206" i="97"/>
  <c r="A17" i="99" s="1"/>
  <c r="A205" i="97"/>
  <c r="A16" i="99" s="1"/>
  <c r="A204" i="97"/>
  <c r="A15" i="99" s="1"/>
  <c r="A203" i="97"/>
  <c r="A14" i="99" s="1"/>
  <c r="A202" i="97"/>
  <c r="A13" i="99" s="1"/>
  <c r="A201" i="97"/>
  <c r="A12" i="99" s="1"/>
  <c r="A200" i="97"/>
  <c r="A1" i="99" s="1"/>
  <c r="D36" i="96" s="1"/>
  <c r="Y116" i="99"/>
  <c r="X116" i="99"/>
  <c r="W116" i="99"/>
  <c r="V116" i="99"/>
  <c r="T116" i="99"/>
  <c r="S116" i="99"/>
  <c r="S119" i="98" s="1"/>
  <c r="R116" i="99"/>
  <c r="R119" i="98" s="1"/>
  <c r="Q116" i="99"/>
  <c r="Q119" i="98" s="1"/>
  <c r="O116" i="99"/>
  <c r="N116" i="99"/>
  <c r="N119" i="98" s="1"/>
  <c r="M116" i="99"/>
  <c r="M119" i="98" s="1"/>
  <c r="L116" i="99"/>
  <c r="L119" i="98" s="1"/>
  <c r="A114" i="99"/>
  <c r="A113" i="99"/>
  <c r="A112" i="99"/>
  <c r="A111" i="99"/>
  <c r="A110" i="99"/>
  <c r="A109" i="99"/>
  <c r="A108" i="99"/>
  <c r="A107" i="99"/>
  <c r="A106" i="99"/>
  <c r="A105" i="99"/>
  <c r="A104" i="99"/>
  <c r="A103" i="99"/>
  <c r="A102" i="99"/>
  <c r="A101" i="99"/>
  <c r="A100" i="99"/>
  <c r="A99" i="99"/>
  <c r="A98" i="99"/>
  <c r="Z116" i="99"/>
  <c r="Y76" i="99"/>
  <c r="X76" i="99"/>
  <c r="W76" i="99"/>
  <c r="V76" i="99"/>
  <c r="T76" i="99"/>
  <c r="T79" i="98" s="1"/>
  <c r="S76" i="99"/>
  <c r="S79" i="98" s="1"/>
  <c r="R76" i="99"/>
  <c r="R79" i="98" s="1"/>
  <c r="Q76" i="99"/>
  <c r="O76" i="99"/>
  <c r="O79" i="98" s="1"/>
  <c r="N76" i="99"/>
  <c r="N79" i="98" s="1"/>
  <c r="M76" i="99"/>
  <c r="M79" i="98" s="1"/>
  <c r="L76" i="99"/>
  <c r="A74" i="99"/>
  <c r="A73" i="99"/>
  <c r="A72" i="99"/>
  <c r="A71" i="99"/>
  <c r="A70" i="99"/>
  <c r="A69" i="99"/>
  <c r="A68" i="99"/>
  <c r="A67" i="99"/>
  <c r="A66" i="99"/>
  <c r="A65" i="99"/>
  <c r="A64" i="99"/>
  <c r="A63" i="99"/>
  <c r="A62" i="99"/>
  <c r="A61" i="99"/>
  <c r="A60" i="99"/>
  <c r="A59" i="99"/>
  <c r="A58" i="99"/>
  <c r="P76" i="99"/>
  <c r="Y36" i="99"/>
  <c r="X36" i="99"/>
  <c r="W36" i="99"/>
  <c r="V36" i="99"/>
  <c r="T36" i="99"/>
  <c r="S36" i="99"/>
  <c r="S36" i="98" s="1"/>
  <c r="R36" i="99"/>
  <c r="R36" i="98" s="1"/>
  <c r="Q36" i="99"/>
  <c r="Q36" i="98" s="1"/>
  <c r="O36" i="99"/>
  <c r="N36" i="99"/>
  <c r="N36" i="98" s="1"/>
  <c r="M36" i="99"/>
  <c r="L36" i="99"/>
  <c r="L36" i="98" s="1"/>
  <c r="A41" i="97"/>
  <c r="G3" i="100" s="1"/>
  <c r="T36" i="98" l="1"/>
  <c r="U14" i="99"/>
  <c r="U17" i="99"/>
  <c r="U13" i="99"/>
  <c r="U15" i="99"/>
  <c r="U16" i="99"/>
  <c r="U12" i="99"/>
  <c r="T119" i="98"/>
  <c r="U95" i="99"/>
  <c r="U97" i="99"/>
  <c r="U96" i="99"/>
  <c r="U94" i="99"/>
  <c r="U92" i="99"/>
  <c r="U93" i="99"/>
  <c r="K58" i="7"/>
  <c r="K92" i="7"/>
  <c r="K55" i="6"/>
  <c r="J36" i="98"/>
  <c r="K14" i="99"/>
  <c r="K15" i="99"/>
  <c r="K17" i="99"/>
  <c r="K13" i="99"/>
  <c r="K16" i="99"/>
  <c r="K12" i="99"/>
  <c r="G34" i="98"/>
  <c r="G40" i="98"/>
  <c r="K52" i="41"/>
  <c r="K13" i="47"/>
  <c r="K13" i="38"/>
  <c r="K36" i="38" s="1"/>
  <c r="K30" i="98" s="1"/>
  <c r="H27" i="98"/>
  <c r="H39" i="98"/>
  <c r="K94" i="85"/>
  <c r="O119" i="98"/>
  <c r="P97" i="99"/>
  <c r="P93" i="99"/>
  <c r="P95" i="99"/>
  <c r="P96" i="99"/>
  <c r="P92" i="99"/>
  <c r="P94" i="99"/>
  <c r="K16" i="47"/>
  <c r="G27" i="98"/>
  <c r="G39" i="98"/>
  <c r="J42" i="98"/>
  <c r="K15" i="9"/>
  <c r="K52" i="7"/>
  <c r="K96" i="7"/>
  <c r="H34" i="98"/>
  <c r="H40" i="98"/>
  <c r="K14" i="47"/>
  <c r="K76" i="47"/>
  <c r="K76" i="98" s="1"/>
  <c r="K14" i="38"/>
  <c r="I27" i="98"/>
  <c r="I39" i="98"/>
  <c r="K95" i="85"/>
  <c r="K13" i="81"/>
  <c r="K17" i="6"/>
  <c r="J34" i="98"/>
  <c r="J40" i="98"/>
  <c r="K16" i="38"/>
  <c r="O36" i="98"/>
  <c r="P16" i="99"/>
  <c r="P12" i="99"/>
  <c r="P15" i="99"/>
  <c r="P17" i="99"/>
  <c r="P14" i="99"/>
  <c r="P13" i="99"/>
  <c r="K56" i="7"/>
  <c r="K92" i="6"/>
  <c r="J119" i="98"/>
  <c r="K95" i="99"/>
  <c r="K94" i="99"/>
  <c r="K97" i="99"/>
  <c r="K93" i="99"/>
  <c r="K96" i="99"/>
  <c r="K92" i="99"/>
  <c r="I34" i="98"/>
  <c r="I40" i="98"/>
  <c r="K15" i="47"/>
  <c r="K76" i="45"/>
  <c r="K75" i="98" s="1"/>
  <c r="K15" i="38"/>
  <c r="K16" i="85"/>
  <c r="J39" i="98"/>
  <c r="K92" i="85"/>
  <c r="K97" i="85"/>
  <c r="K15" i="81"/>
  <c r="I18" i="98"/>
  <c r="I38" i="98"/>
  <c r="G14" i="98"/>
  <c r="G35" i="98"/>
  <c r="G106" i="98"/>
  <c r="K15" i="32"/>
  <c r="K95" i="32"/>
  <c r="K16" i="73"/>
  <c r="K56" i="73"/>
  <c r="K92" i="28"/>
  <c r="K96" i="28"/>
  <c r="J18" i="98"/>
  <c r="J38" i="98"/>
  <c r="K55" i="24"/>
  <c r="H14" i="98"/>
  <c r="H35" i="98"/>
  <c r="J66" i="98"/>
  <c r="J106" i="98"/>
  <c r="G18" i="98"/>
  <c r="G38" i="98"/>
  <c r="I14" i="98"/>
  <c r="I35" i="98"/>
  <c r="J63" i="98"/>
  <c r="H67" i="98"/>
  <c r="G105" i="98"/>
  <c r="K53" i="32"/>
  <c r="K52" i="73"/>
  <c r="K55" i="28"/>
  <c r="K94" i="28"/>
  <c r="H18" i="98"/>
  <c r="H38" i="98"/>
  <c r="K53" i="24"/>
  <c r="K76" i="24" s="1"/>
  <c r="K63" i="98" s="1"/>
  <c r="K17" i="13"/>
  <c r="J35" i="98"/>
  <c r="J65" i="98"/>
  <c r="I67" i="98"/>
  <c r="H105" i="98"/>
  <c r="K55" i="15"/>
  <c r="K19" i="17"/>
  <c r="K56" i="15"/>
  <c r="J60" i="98"/>
  <c r="K15" i="17"/>
  <c r="K57" i="15"/>
  <c r="K54" i="15"/>
  <c r="K76" i="15" s="1"/>
  <c r="I16" i="98"/>
  <c r="I37" i="98"/>
  <c r="J16" i="98"/>
  <c r="J37" i="98"/>
  <c r="K16" i="17"/>
  <c r="G16" i="98"/>
  <c r="G37" i="98"/>
  <c r="K17" i="17"/>
  <c r="H16" i="98"/>
  <c r="H37" i="98"/>
  <c r="G3" i="69"/>
  <c r="G3" i="17"/>
  <c r="G3" i="5"/>
  <c r="G3" i="10"/>
  <c r="G3" i="47"/>
  <c r="G3" i="8"/>
  <c r="G3" i="73"/>
  <c r="K3" i="36"/>
  <c r="G3" i="9"/>
  <c r="G3" i="99"/>
  <c r="G3" i="45"/>
  <c r="G3" i="83"/>
  <c r="G3" i="28"/>
  <c r="G3" i="15"/>
  <c r="G3" i="7"/>
  <c r="G3" i="41"/>
  <c r="G3" i="38"/>
  <c r="G3" i="81"/>
  <c r="G3" i="24"/>
  <c r="G3" i="13"/>
  <c r="G3" i="68"/>
  <c r="G3" i="6"/>
  <c r="G3" i="49"/>
  <c r="G3" i="85"/>
  <c r="G3" i="32"/>
  <c r="G3" i="22"/>
  <c r="G3" i="64"/>
  <c r="G3" i="98"/>
  <c r="J84" i="98"/>
  <c r="J45" i="98"/>
  <c r="K13" i="8"/>
  <c r="K36" i="8" s="1"/>
  <c r="K45" i="98" s="1"/>
  <c r="K76" i="9"/>
  <c r="K83" i="98" s="1"/>
  <c r="J123" i="98"/>
  <c r="K97" i="9"/>
  <c r="K14" i="5"/>
  <c r="J41" i="98"/>
  <c r="K54" i="5"/>
  <c r="J80" i="98"/>
  <c r="J120" i="98"/>
  <c r="K13" i="49"/>
  <c r="K12" i="49"/>
  <c r="K16" i="49"/>
  <c r="K14" i="49"/>
  <c r="K15" i="49"/>
  <c r="K13" i="41"/>
  <c r="K12" i="41"/>
  <c r="K14" i="41"/>
  <c r="K16" i="41"/>
  <c r="K15" i="41"/>
  <c r="K36" i="47"/>
  <c r="K32" i="98" s="1"/>
  <c r="J31" i="98"/>
  <c r="K36" i="45"/>
  <c r="K31" i="98" s="1"/>
  <c r="K116" i="49"/>
  <c r="K117" i="98" s="1"/>
  <c r="K52" i="49"/>
  <c r="K55" i="49"/>
  <c r="K53" i="49"/>
  <c r="J77" i="98"/>
  <c r="K56" i="49"/>
  <c r="K92" i="47"/>
  <c r="K96" i="47"/>
  <c r="K94" i="47"/>
  <c r="J116" i="98"/>
  <c r="K93" i="47"/>
  <c r="K116" i="45"/>
  <c r="K115" i="98" s="1"/>
  <c r="K116" i="38"/>
  <c r="K114" i="98" s="1"/>
  <c r="K55" i="38"/>
  <c r="J74" i="98"/>
  <c r="K56" i="38"/>
  <c r="K53" i="38"/>
  <c r="K52" i="38"/>
  <c r="K92" i="41"/>
  <c r="K95" i="41"/>
  <c r="K93" i="41"/>
  <c r="K116" i="41" s="1"/>
  <c r="K118" i="98" s="1"/>
  <c r="K96" i="41"/>
  <c r="J118" i="98"/>
  <c r="K53" i="41"/>
  <c r="K56" i="41"/>
  <c r="K15" i="85"/>
  <c r="K14" i="85"/>
  <c r="K18" i="85"/>
  <c r="K12" i="85"/>
  <c r="J113" i="98"/>
  <c r="K76" i="85"/>
  <c r="K73" i="98" s="1"/>
  <c r="K13" i="69"/>
  <c r="K17" i="69"/>
  <c r="K14" i="69"/>
  <c r="K15" i="69"/>
  <c r="J26" i="98"/>
  <c r="K18" i="69"/>
  <c r="K12" i="69"/>
  <c r="K76" i="69"/>
  <c r="K72" i="98" s="1"/>
  <c r="J72" i="98"/>
  <c r="K13" i="83"/>
  <c r="K17" i="83"/>
  <c r="J25" i="98"/>
  <c r="K14" i="83"/>
  <c r="K15" i="83"/>
  <c r="K18" i="83"/>
  <c r="K12" i="83"/>
  <c r="K95" i="83"/>
  <c r="J111" i="98"/>
  <c r="K92" i="83"/>
  <c r="K116" i="83" s="1"/>
  <c r="K111" i="98" s="1"/>
  <c r="K53" i="83"/>
  <c r="K57" i="83"/>
  <c r="K54" i="83"/>
  <c r="K55" i="83"/>
  <c r="K58" i="83"/>
  <c r="J71" i="98"/>
  <c r="K52" i="83"/>
  <c r="K97" i="81"/>
  <c r="K53" i="81"/>
  <c r="K57" i="81"/>
  <c r="K54" i="81"/>
  <c r="K55" i="81"/>
  <c r="K52" i="81"/>
  <c r="K56" i="81"/>
  <c r="K95" i="81"/>
  <c r="J20" i="98"/>
  <c r="J21" i="98"/>
  <c r="H20" i="98"/>
  <c r="H21" i="98"/>
  <c r="I20" i="98"/>
  <c r="I21" i="98"/>
  <c r="H65" i="98"/>
  <c r="G66" i="98"/>
  <c r="G65" i="98"/>
  <c r="G21" i="98"/>
  <c r="K98" i="73"/>
  <c r="K92" i="73"/>
  <c r="I105" i="98"/>
  <c r="H106" i="98"/>
  <c r="I107" i="98"/>
  <c r="J107" i="98"/>
  <c r="K94" i="73"/>
  <c r="K54" i="32"/>
  <c r="K55" i="32"/>
  <c r="J68" i="98"/>
  <c r="K52" i="32"/>
  <c r="K116" i="28"/>
  <c r="K104" i="98" s="1"/>
  <c r="K36" i="24"/>
  <c r="K93" i="24"/>
  <c r="K97" i="24"/>
  <c r="K95" i="24"/>
  <c r="J103" i="98"/>
  <c r="K94" i="24"/>
  <c r="K98" i="24"/>
  <c r="K92" i="24"/>
  <c r="K53" i="22"/>
  <c r="K57" i="22"/>
  <c r="K76" i="22" s="1"/>
  <c r="K62" i="98" s="1"/>
  <c r="K54" i="22"/>
  <c r="K55" i="22"/>
  <c r="K97" i="22"/>
  <c r="J102" i="98"/>
  <c r="K15" i="22"/>
  <c r="K15" i="15"/>
  <c r="J15" i="98"/>
  <c r="K19" i="15"/>
  <c r="K95" i="17"/>
  <c r="K94" i="17"/>
  <c r="K98" i="17"/>
  <c r="J101" i="98"/>
  <c r="K96" i="17"/>
  <c r="K99" i="17"/>
  <c r="J61" i="98"/>
  <c r="K97" i="15"/>
  <c r="K99" i="15"/>
  <c r="K95" i="15"/>
  <c r="J100" i="98"/>
  <c r="K14" i="13"/>
  <c r="K94" i="64"/>
  <c r="K52" i="64"/>
  <c r="K76" i="64" s="1"/>
  <c r="K58" i="98" s="1"/>
  <c r="K22" i="10"/>
  <c r="K21" i="10"/>
  <c r="K102" i="10"/>
  <c r="K101" i="10"/>
  <c r="K64" i="10"/>
  <c r="K61" i="10"/>
  <c r="K105" i="10"/>
  <c r="K65" i="10"/>
  <c r="K25" i="10"/>
  <c r="J12" i="98"/>
  <c r="K23" i="10"/>
  <c r="K16" i="10"/>
  <c r="K96" i="10"/>
  <c r="K14" i="10"/>
  <c r="K60" i="10"/>
  <c r="J58" i="98"/>
  <c r="J59" i="98"/>
  <c r="K94" i="13"/>
  <c r="K98" i="13"/>
  <c r="K92" i="13"/>
  <c r="K18" i="13"/>
  <c r="J14" i="98"/>
  <c r="J99" i="98"/>
  <c r="J13" i="98"/>
  <c r="J98" i="98"/>
  <c r="K12" i="64"/>
  <c r="K36" i="64" s="1"/>
  <c r="K13" i="98" s="1"/>
  <c r="K92" i="64"/>
  <c r="K116" i="64" s="1"/>
  <c r="K98" i="98" s="1"/>
  <c r="K98" i="10"/>
  <c r="J57" i="98"/>
  <c r="K18" i="10"/>
  <c r="K52" i="10"/>
  <c r="K92" i="10"/>
  <c r="K100" i="10"/>
  <c r="J97" i="98"/>
  <c r="K12" i="10"/>
  <c r="K20" i="10"/>
  <c r="K56" i="10"/>
  <c r="K94" i="10"/>
  <c r="K103" i="10"/>
  <c r="K12" i="6"/>
  <c r="K94" i="6"/>
  <c r="K96" i="6"/>
  <c r="K76" i="8"/>
  <c r="K84" i="98" s="1"/>
  <c r="K14" i="9"/>
  <c r="K16" i="9"/>
  <c r="K12" i="9"/>
  <c r="K15" i="7"/>
  <c r="K17" i="7"/>
  <c r="K13" i="7"/>
  <c r="K55" i="7"/>
  <c r="K57" i="7"/>
  <c r="K53" i="7"/>
  <c r="K95" i="7"/>
  <c r="K97" i="7"/>
  <c r="K93" i="7"/>
  <c r="K56" i="6"/>
  <c r="K54" i="6"/>
  <c r="K52" i="5"/>
  <c r="K76" i="5" s="1"/>
  <c r="K80" i="98" s="1"/>
  <c r="K94" i="81"/>
  <c r="K96" i="81"/>
  <c r="K92" i="81"/>
  <c r="K94" i="32"/>
  <c r="K96" i="32"/>
  <c r="K92" i="32"/>
  <c r="K14" i="22"/>
  <c r="K16" i="22"/>
  <c r="K12" i="22"/>
  <c r="K96" i="22"/>
  <c r="K92" i="22"/>
  <c r="K95" i="22"/>
  <c r="K94" i="22"/>
  <c r="K14" i="6"/>
  <c r="K16" i="6"/>
  <c r="K15" i="68"/>
  <c r="K17" i="68"/>
  <c r="K13" i="68"/>
  <c r="K55" i="68"/>
  <c r="K57" i="68"/>
  <c r="K53" i="68"/>
  <c r="K95" i="68"/>
  <c r="K97" i="68"/>
  <c r="K93" i="68"/>
  <c r="K13" i="9"/>
  <c r="K96" i="9"/>
  <c r="K92" i="9"/>
  <c r="K94" i="9"/>
  <c r="K14" i="7"/>
  <c r="K36" i="7" s="1"/>
  <c r="K43" i="98" s="1"/>
  <c r="K54" i="7"/>
  <c r="K94" i="7"/>
  <c r="K52" i="6"/>
  <c r="K95" i="6"/>
  <c r="K12" i="5"/>
  <c r="K36" i="5" s="1"/>
  <c r="K41" i="98" s="1"/>
  <c r="K92" i="5"/>
  <c r="K116" i="5" s="1"/>
  <c r="K120" i="98" s="1"/>
  <c r="K16" i="81"/>
  <c r="K12" i="81"/>
  <c r="K14" i="81"/>
  <c r="K93" i="81"/>
  <c r="K16" i="32"/>
  <c r="K12" i="32"/>
  <c r="K14" i="32"/>
  <c r="K93" i="32"/>
  <c r="K17" i="73"/>
  <c r="K13" i="73"/>
  <c r="K15" i="73"/>
  <c r="K57" i="73"/>
  <c r="K53" i="73"/>
  <c r="K55" i="73"/>
  <c r="K97" i="73"/>
  <c r="K93" i="73"/>
  <c r="K116" i="73" s="1"/>
  <c r="K95" i="73"/>
  <c r="K56" i="28"/>
  <c r="K52" i="28"/>
  <c r="K54" i="28"/>
  <c r="K13" i="22"/>
  <c r="K56" i="17"/>
  <c r="K16" i="15"/>
  <c r="K94" i="15"/>
  <c r="K116" i="15" s="1"/>
  <c r="K98" i="15"/>
  <c r="K15" i="13"/>
  <c r="K55" i="13"/>
  <c r="K95" i="13"/>
  <c r="K15" i="10"/>
  <c r="K19" i="10"/>
  <c r="K24" i="10"/>
  <c r="K53" i="10"/>
  <c r="K57" i="10"/>
  <c r="K62" i="10"/>
  <c r="K95" i="10"/>
  <c r="K99" i="10"/>
  <c r="K104" i="10"/>
  <c r="K57" i="17"/>
  <c r="K17" i="15"/>
  <c r="K12" i="13"/>
  <c r="K16" i="13"/>
  <c r="K52" i="13"/>
  <c r="K56" i="13"/>
  <c r="K96" i="13"/>
  <c r="K54" i="10"/>
  <c r="K58" i="10"/>
  <c r="K63" i="10"/>
  <c r="K54" i="17"/>
  <c r="K14" i="15"/>
  <c r="K13" i="13"/>
  <c r="K53" i="13"/>
  <c r="K93" i="13"/>
  <c r="K13" i="10"/>
  <c r="K17" i="10"/>
  <c r="K55" i="10"/>
  <c r="K59" i="10"/>
  <c r="K93" i="10"/>
  <c r="K97" i="10"/>
  <c r="A27" i="97"/>
  <c r="U36" i="99" l="1"/>
  <c r="U36" i="98" s="1"/>
  <c r="K76" i="68"/>
  <c r="K85" i="98" s="1"/>
  <c r="K36" i="49"/>
  <c r="K33" i="98" s="1"/>
  <c r="P36" i="99"/>
  <c r="P36" i="98" s="1"/>
  <c r="K76" i="49"/>
  <c r="K77" i="98" s="1"/>
  <c r="K116" i="85"/>
  <c r="K113" i="98" s="1"/>
  <c r="K36" i="99"/>
  <c r="K36" i="98" s="1"/>
  <c r="K36" i="68"/>
  <c r="K28" i="98" s="1"/>
  <c r="K36" i="41"/>
  <c r="K116" i="99"/>
  <c r="K119" i="98" s="1"/>
  <c r="K76" i="17"/>
  <c r="K18" i="98"/>
  <c r="K38" i="98"/>
  <c r="K76" i="32"/>
  <c r="K68" i="98" s="1"/>
  <c r="K116" i="17"/>
  <c r="K101" i="98" s="1"/>
  <c r="K36" i="17"/>
  <c r="K16" i="98" s="1"/>
  <c r="K36" i="15"/>
  <c r="K15" i="98" s="1"/>
  <c r="K60" i="98"/>
  <c r="K100" i="98"/>
  <c r="K37" i="98"/>
  <c r="A124" i="98"/>
  <c r="A85" i="98"/>
  <c r="A84" i="98"/>
  <c r="A125" i="98"/>
  <c r="K116" i="68"/>
  <c r="K125" i="98" s="1"/>
  <c r="K116" i="9"/>
  <c r="K123" i="98" s="1"/>
  <c r="K76" i="7"/>
  <c r="K82" i="98" s="1"/>
  <c r="K116" i="7"/>
  <c r="K122" i="98" s="1"/>
  <c r="K116" i="6"/>
  <c r="K121" i="98" s="1"/>
  <c r="K36" i="85"/>
  <c r="K116" i="47"/>
  <c r="K116" i="98" s="1"/>
  <c r="K76" i="38"/>
  <c r="K74" i="98" s="1"/>
  <c r="K76" i="41"/>
  <c r="K78" i="98" s="1"/>
  <c r="K36" i="69"/>
  <c r="K26" i="98" s="1"/>
  <c r="K36" i="83"/>
  <c r="K25" i="98" s="1"/>
  <c r="K76" i="83"/>
  <c r="K71" i="98" s="1"/>
  <c r="K36" i="81"/>
  <c r="K24" i="98" s="1"/>
  <c r="K76" i="81"/>
  <c r="K70" i="98" s="1"/>
  <c r="K36" i="73"/>
  <c r="K76" i="73"/>
  <c r="K105" i="98"/>
  <c r="K107" i="98"/>
  <c r="K106" i="98"/>
  <c r="K36" i="32"/>
  <c r="K22" i="98" s="1"/>
  <c r="K116" i="24"/>
  <c r="K103" i="98" s="1"/>
  <c r="K36" i="22"/>
  <c r="K17" i="98" s="1"/>
  <c r="K61" i="98"/>
  <c r="K116" i="13"/>
  <c r="K99" i="98" s="1"/>
  <c r="K76" i="13"/>
  <c r="K59" i="98" s="1"/>
  <c r="K36" i="10"/>
  <c r="K12" i="98" s="1"/>
  <c r="K116" i="10"/>
  <c r="K97" i="98" s="1"/>
  <c r="K76" i="10"/>
  <c r="K57" i="98" s="1"/>
  <c r="K36" i="13"/>
  <c r="K116" i="22"/>
  <c r="K102" i="98" s="1"/>
  <c r="K116" i="81"/>
  <c r="K110" i="98" s="1"/>
  <c r="K36" i="6"/>
  <c r="K42" i="98" s="1"/>
  <c r="K76" i="28"/>
  <c r="K64" i="98" s="1"/>
  <c r="K116" i="32"/>
  <c r="K108" i="98" s="1"/>
  <c r="K76" i="6"/>
  <c r="K81" i="98" s="1"/>
  <c r="K36" i="9"/>
  <c r="K44" i="98" s="1"/>
  <c r="Z76" i="99"/>
  <c r="Z36" i="99"/>
  <c r="P116" i="99"/>
  <c r="P119" i="98" s="1"/>
  <c r="U116" i="99"/>
  <c r="U119" i="98" s="1"/>
  <c r="U76" i="99"/>
  <c r="U79" i="98" s="1"/>
  <c r="B45" i="96"/>
  <c r="A45" i="98" s="1"/>
  <c r="Z97" i="28"/>
  <c r="Z96" i="28"/>
  <c r="Z95" i="28"/>
  <c r="Z94" i="28"/>
  <c r="Z93" i="28"/>
  <c r="Z92" i="28"/>
  <c r="Z57" i="28"/>
  <c r="Z56" i="28"/>
  <c r="Z55" i="28"/>
  <c r="Z54" i="28"/>
  <c r="Z53" i="28"/>
  <c r="Z52" i="28"/>
  <c r="Z17" i="28"/>
  <c r="Z16" i="28"/>
  <c r="Z15" i="28"/>
  <c r="Z14" i="28"/>
  <c r="Z13" i="28"/>
  <c r="Z12" i="28"/>
  <c r="Z98" i="24"/>
  <c r="Z97" i="24"/>
  <c r="Z96" i="24"/>
  <c r="Z95" i="24"/>
  <c r="Z94" i="24"/>
  <c r="Z93" i="24"/>
  <c r="Z92" i="24"/>
  <c r="Z58" i="24"/>
  <c r="Z57" i="24"/>
  <c r="Z56" i="24"/>
  <c r="Z55" i="24"/>
  <c r="Z54" i="24"/>
  <c r="Z53" i="24"/>
  <c r="Z52" i="24"/>
  <c r="Z18" i="24"/>
  <c r="Z17" i="24"/>
  <c r="Z16" i="24"/>
  <c r="Z15" i="24"/>
  <c r="Z14" i="24"/>
  <c r="Z13" i="24"/>
  <c r="Z12" i="24"/>
  <c r="K34" i="98" l="1"/>
  <c r="K40" i="98"/>
  <c r="K27" i="98"/>
  <c r="K39" i="98"/>
  <c r="K14" i="98"/>
  <c r="K35" i="98"/>
  <c r="K20" i="98"/>
  <c r="K21" i="98"/>
  <c r="K67" i="98"/>
  <c r="K65" i="98"/>
  <c r="K66" i="98"/>
  <c r="Z93" i="22"/>
  <c r="Z53" i="22"/>
  <c r="Z85" i="98"/>
  <c r="Y85" i="98"/>
  <c r="X85" i="98"/>
  <c r="W85" i="98"/>
  <c r="V85" i="98"/>
  <c r="Z84" i="98"/>
  <c r="Y84" i="98"/>
  <c r="X84" i="98"/>
  <c r="W84" i="98"/>
  <c r="V84" i="98"/>
  <c r="Z67" i="98"/>
  <c r="Y67" i="98"/>
  <c r="X67" i="98"/>
  <c r="W67" i="98"/>
  <c r="V67" i="98"/>
  <c r="Z66" i="98"/>
  <c r="Y66" i="98"/>
  <c r="X66" i="98"/>
  <c r="W66" i="98"/>
  <c r="V66" i="98"/>
  <c r="Z83" i="98"/>
  <c r="Y83" i="98"/>
  <c r="X83" i="98"/>
  <c r="W83" i="98"/>
  <c r="V83" i="98"/>
  <c r="Z82" i="98"/>
  <c r="Y82" i="98"/>
  <c r="X82" i="98"/>
  <c r="W82" i="98"/>
  <c r="V82" i="98"/>
  <c r="Z81" i="98"/>
  <c r="Y81" i="98"/>
  <c r="X81" i="98"/>
  <c r="W81" i="98"/>
  <c r="V81" i="98"/>
  <c r="Z80" i="98"/>
  <c r="Y80" i="98"/>
  <c r="X80" i="98"/>
  <c r="W80" i="98"/>
  <c r="V80" i="98"/>
  <c r="Z78" i="98"/>
  <c r="Y78" i="98"/>
  <c r="X78" i="98"/>
  <c r="W78" i="98"/>
  <c r="V78" i="98"/>
  <c r="Z77" i="98"/>
  <c r="Y77" i="98"/>
  <c r="X77" i="98"/>
  <c r="W77" i="98"/>
  <c r="V77" i="98"/>
  <c r="Z76" i="98"/>
  <c r="Y76" i="98"/>
  <c r="X76" i="98"/>
  <c r="W76" i="98"/>
  <c r="V76" i="98"/>
  <c r="Z75" i="98"/>
  <c r="Y75" i="98"/>
  <c r="X75" i="98"/>
  <c r="W75" i="98"/>
  <c r="V75" i="98"/>
  <c r="Z73" i="98"/>
  <c r="Y73" i="98"/>
  <c r="X73" i="98"/>
  <c r="W73" i="98"/>
  <c r="V73" i="98"/>
  <c r="Z72" i="98"/>
  <c r="Y72" i="98"/>
  <c r="X72" i="98"/>
  <c r="W72" i="98"/>
  <c r="V72" i="98"/>
  <c r="Z71" i="98"/>
  <c r="Y71" i="98"/>
  <c r="X71" i="98"/>
  <c r="W71" i="98"/>
  <c r="V71" i="98"/>
  <c r="Z69" i="98"/>
  <c r="Y69" i="98"/>
  <c r="X69" i="98"/>
  <c r="W69" i="98"/>
  <c r="V69" i="98"/>
  <c r="Z68" i="98"/>
  <c r="Y68" i="98"/>
  <c r="X68" i="98"/>
  <c r="W68" i="98"/>
  <c r="V68" i="98"/>
  <c r="Z65" i="98"/>
  <c r="Y65" i="98"/>
  <c r="X65" i="98"/>
  <c r="W65" i="98"/>
  <c r="V65" i="98"/>
  <c r="Y64" i="98"/>
  <c r="X64" i="98"/>
  <c r="W64" i="98"/>
  <c r="V64" i="98"/>
  <c r="Y63" i="98"/>
  <c r="X63" i="98"/>
  <c r="W63" i="98"/>
  <c r="V63" i="98"/>
  <c r="Y62" i="98"/>
  <c r="X62" i="98"/>
  <c r="W62" i="98"/>
  <c r="V62" i="98"/>
  <c r="Z59" i="98"/>
  <c r="Y59" i="98"/>
  <c r="X59" i="98"/>
  <c r="W59" i="98"/>
  <c r="V59" i="98"/>
  <c r="Z58" i="98"/>
  <c r="Y58" i="98"/>
  <c r="X58" i="98"/>
  <c r="W58" i="98"/>
  <c r="V58" i="98"/>
  <c r="Z125" i="98"/>
  <c r="Y125" i="98"/>
  <c r="X125" i="98"/>
  <c r="W125" i="98"/>
  <c r="V125" i="98"/>
  <c r="Z124" i="98"/>
  <c r="Y124" i="98"/>
  <c r="X124" i="98"/>
  <c r="W124" i="98"/>
  <c r="V124" i="98"/>
  <c r="Z107" i="98"/>
  <c r="Y107" i="98"/>
  <c r="X107" i="98"/>
  <c r="W107" i="98"/>
  <c r="V107" i="98"/>
  <c r="Z106" i="98"/>
  <c r="Y106" i="98"/>
  <c r="X106" i="98"/>
  <c r="W106" i="98"/>
  <c r="V106" i="98"/>
  <c r="Z123" i="98"/>
  <c r="Y123" i="98"/>
  <c r="X123" i="98"/>
  <c r="W123" i="98"/>
  <c r="V123" i="98"/>
  <c r="Z122" i="98"/>
  <c r="Y122" i="98"/>
  <c r="X122" i="98"/>
  <c r="W122" i="98"/>
  <c r="V122" i="98"/>
  <c r="Z121" i="98"/>
  <c r="Y121" i="98"/>
  <c r="X121" i="98"/>
  <c r="W121" i="98"/>
  <c r="V121" i="98"/>
  <c r="Z120" i="98"/>
  <c r="Y120" i="98"/>
  <c r="X120" i="98"/>
  <c r="W120" i="98"/>
  <c r="V120" i="98"/>
  <c r="Z118" i="98"/>
  <c r="Y118" i="98"/>
  <c r="X118" i="98"/>
  <c r="W118" i="98"/>
  <c r="V118" i="98"/>
  <c r="Z117" i="98"/>
  <c r="Y117" i="98"/>
  <c r="X117" i="98"/>
  <c r="W117" i="98"/>
  <c r="V117" i="98"/>
  <c r="Z116" i="98"/>
  <c r="Y116" i="98"/>
  <c r="X116" i="98"/>
  <c r="W116" i="98"/>
  <c r="V116" i="98"/>
  <c r="Z115" i="98"/>
  <c r="Y115" i="98"/>
  <c r="X115" i="98"/>
  <c r="W115" i="98"/>
  <c r="V115" i="98"/>
  <c r="Z113" i="98"/>
  <c r="Y113" i="98"/>
  <c r="X113" i="98"/>
  <c r="W113" i="98"/>
  <c r="V113" i="98"/>
  <c r="Z112" i="98"/>
  <c r="Y112" i="98"/>
  <c r="X112" i="98"/>
  <c r="W112" i="98"/>
  <c r="V112" i="98"/>
  <c r="Z111" i="98"/>
  <c r="Y111" i="98"/>
  <c r="X111" i="98"/>
  <c r="W111" i="98"/>
  <c r="V111" i="98"/>
  <c r="Z109" i="98"/>
  <c r="Y109" i="98"/>
  <c r="X109" i="98"/>
  <c r="W109" i="98"/>
  <c r="V109" i="98"/>
  <c r="Z108" i="98"/>
  <c r="Y108" i="98"/>
  <c r="X108" i="98"/>
  <c r="W108" i="98"/>
  <c r="V108" i="98"/>
  <c r="Z105" i="98"/>
  <c r="Y105" i="98"/>
  <c r="X105" i="98"/>
  <c r="W105" i="98"/>
  <c r="V105" i="98"/>
  <c r="Y104" i="98"/>
  <c r="X104" i="98"/>
  <c r="W104" i="98"/>
  <c r="V104" i="98"/>
  <c r="Y103" i="98"/>
  <c r="X103" i="98"/>
  <c r="W103" i="98"/>
  <c r="V103" i="98"/>
  <c r="Y102" i="98"/>
  <c r="X102" i="98"/>
  <c r="W102" i="98"/>
  <c r="V102" i="98"/>
  <c r="Z99" i="98"/>
  <c r="Y99" i="98"/>
  <c r="X99" i="98"/>
  <c r="W99" i="98"/>
  <c r="V99" i="98"/>
  <c r="Z98" i="98"/>
  <c r="Y98" i="98"/>
  <c r="X98" i="98"/>
  <c r="W98" i="98"/>
  <c r="V98" i="98"/>
  <c r="Z28" i="98"/>
  <c r="Y28" i="98"/>
  <c r="X28" i="98"/>
  <c r="W28" i="98"/>
  <c r="V28" i="98"/>
  <c r="Z45" i="98"/>
  <c r="Y45" i="98"/>
  <c r="X45" i="98"/>
  <c r="W45" i="98"/>
  <c r="V45" i="98"/>
  <c r="Z21" i="98"/>
  <c r="Y21" i="98"/>
  <c r="X21" i="98"/>
  <c r="W21" i="98"/>
  <c r="V21" i="98"/>
  <c r="Z44" i="98"/>
  <c r="Y44" i="98"/>
  <c r="X44" i="98"/>
  <c r="W44" i="98"/>
  <c r="V44" i="98"/>
  <c r="Z43" i="98"/>
  <c r="Y43" i="98"/>
  <c r="X43" i="98"/>
  <c r="W43" i="98"/>
  <c r="V43" i="98"/>
  <c r="Z42" i="98"/>
  <c r="Y42" i="98"/>
  <c r="X42" i="98"/>
  <c r="W42" i="98"/>
  <c r="V42" i="98"/>
  <c r="Z41" i="98"/>
  <c r="Y41" i="98"/>
  <c r="X41" i="98"/>
  <c r="W41" i="98"/>
  <c r="V41" i="98"/>
  <c r="Z34" i="98"/>
  <c r="Y34" i="98"/>
  <c r="X34" i="98"/>
  <c r="W34" i="98"/>
  <c r="V34" i="98"/>
  <c r="Z33" i="98"/>
  <c r="Y33" i="98"/>
  <c r="X33" i="98"/>
  <c r="W33" i="98"/>
  <c r="V33" i="98"/>
  <c r="Z32" i="98"/>
  <c r="Y32" i="98"/>
  <c r="X32" i="98"/>
  <c r="W32" i="98"/>
  <c r="V32" i="98"/>
  <c r="Z31" i="98"/>
  <c r="Y31" i="98"/>
  <c r="X31" i="98"/>
  <c r="W31" i="98"/>
  <c r="V31" i="98"/>
  <c r="Z27" i="98"/>
  <c r="Y27" i="98"/>
  <c r="X27" i="98"/>
  <c r="W27" i="98"/>
  <c r="V27" i="98"/>
  <c r="Z26" i="98"/>
  <c r="Y26" i="98"/>
  <c r="X26" i="98"/>
  <c r="W26" i="98"/>
  <c r="V26" i="98"/>
  <c r="Z25" i="98"/>
  <c r="Y25" i="98"/>
  <c r="X25" i="98"/>
  <c r="W25" i="98"/>
  <c r="V25" i="98"/>
  <c r="Z24" i="98"/>
  <c r="Y24" i="98"/>
  <c r="X24" i="98"/>
  <c r="W24" i="98"/>
  <c r="V24" i="98"/>
  <c r="Z23" i="98"/>
  <c r="Y23" i="98"/>
  <c r="X23" i="98"/>
  <c r="W23" i="98"/>
  <c r="V23" i="98"/>
  <c r="Z22" i="98"/>
  <c r="Y22" i="98"/>
  <c r="X22" i="98"/>
  <c r="W22" i="98"/>
  <c r="V22" i="98"/>
  <c r="Z20" i="98"/>
  <c r="Y20" i="98"/>
  <c r="X20" i="98"/>
  <c r="W20" i="98"/>
  <c r="V20" i="98"/>
  <c r="Y19" i="98"/>
  <c r="X19" i="98"/>
  <c r="W19" i="98"/>
  <c r="V19" i="98"/>
  <c r="Y18" i="98"/>
  <c r="X18" i="98"/>
  <c r="W18" i="98"/>
  <c r="V18" i="98"/>
  <c r="Z17" i="98"/>
  <c r="Y17" i="98"/>
  <c r="X17" i="98"/>
  <c r="W17" i="98"/>
  <c r="V17" i="98"/>
  <c r="Z14" i="98"/>
  <c r="Y14" i="98"/>
  <c r="X14" i="98"/>
  <c r="W14" i="98"/>
  <c r="V14" i="98"/>
  <c r="Z13" i="98"/>
  <c r="Y13" i="98"/>
  <c r="X13" i="98"/>
  <c r="W13" i="98"/>
  <c r="V13" i="98"/>
  <c r="Y36" i="68" l="1"/>
  <c r="Z13" i="68" s="1"/>
  <c r="V36" i="68"/>
  <c r="S36" i="68"/>
  <c r="S28" i="98" s="1"/>
  <c r="Q36" i="68"/>
  <c r="Q28" i="98" s="1"/>
  <c r="V36" i="41"/>
  <c r="R36" i="41"/>
  <c r="V36" i="49"/>
  <c r="R36" i="49"/>
  <c r="R33" i="98" s="1"/>
  <c r="W36" i="47"/>
  <c r="V36" i="47"/>
  <c r="T36" i="47"/>
  <c r="T32" i="98" s="1"/>
  <c r="R36" i="47"/>
  <c r="R32" i="98" s="1"/>
  <c r="X36" i="45"/>
  <c r="V36" i="45"/>
  <c r="R36" i="45"/>
  <c r="R31" i="98" s="1"/>
  <c r="Y36" i="38"/>
  <c r="Y30" i="98" s="1"/>
  <c r="S36" i="38"/>
  <c r="S30" i="98" s="1"/>
  <c r="Q36" i="38"/>
  <c r="Q30" i="98" s="1"/>
  <c r="Y36" i="85"/>
  <c r="W36" i="85"/>
  <c r="R36" i="85"/>
  <c r="R36" i="69"/>
  <c r="R26" i="98" s="1"/>
  <c r="Q36" i="69"/>
  <c r="Q26" i="98" s="1"/>
  <c r="W36" i="83"/>
  <c r="V36" i="83"/>
  <c r="R36" i="83"/>
  <c r="R25" i="98" s="1"/>
  <c r="X36" i="81"/>
  <c r="V36" i="81"/>
  <c r="T36" i="81"/>
  <c r="R36" i="81"/>
  <c r="R24" i="98" s="1"/>
  <c r="Q36" i="73"/>
  <c r="R36" i="68"/>
  <c r="R28" i="98" s="1"/>
  <c r="T36" i="68"/>
  <c r="W36" i="68"/>
  <c r="X36" i="68"/>
  <c r="U53" i="68"/>
  <c r="Q76" i="68"/>
  <c r="Q85" i="98" s="1"/>
  <c r="R76" i="68"/>
  <c r="R85" i="98" s="1"/>
  <c r="S76" i="68"/>
  <c r="S85" i="98" s="1"/>
  <c r="T76" i="68"/>
  <c r="V76" i="68"/>
  <c r="W76" i="68"/>
  <c r="X76" i="68"/>
  <c r="Y76" i="68"/>
  <c r="Z53" i="68" s="1"/>
  <c r="Q116" i="68"/>
  <c r="Q125" i="98" s="1"/>
  <c r="R116" i="68"/>
  <c r="R125" i="98" s="1"/>
  <c r="S116" i="68"/>
  <c r="S125" i="98" s="1"/>
  <c r="T116" i="68"/>
  <c r="V116" i="68"/>
  <c r="W116" i="68"/>
  <c r="X116" i="68"/>
  <c r="Y116" i="68"/>
  <c r="Z93" i="68" s="1"/>
  <c r="Q36" i="8"/>
  <c r="Q45" i="98" s="1"/>
  <c r="R36" i="8"/>
  <c r="R45" i="98" s="1"/>
  <c r="S36" i="8"/>
  <c r="S45" i="98" s="1"/>
  <c r="T36" i="8"/>
  <c r="V36" i="8"/>
  <c r="W36" i="8"/>
  <c r="X36" i="8"/>
  <c r="Y36" i="8"/>
  <c r="Z12" i="8" s="1"/>
  <c r="Q76" i="8"/>
  <c r="Q84" i="98" s="1"/>
  <c r="R76" i="8"/>
  <c r="R84" i="98" s="1"/>
  <c r="S76" i="8"/>
  <c r="S84" i="98" s="1"/>
  <c r="T76" i="8"/>
  <c r="V76" i="8"/>
  <c r="W76" i="8"/>
  <c r="X76" i="8"/>
  <c r="Y76" i="8"/>
  <c r="Z52" i="8" s="1"/>
  <c r="Q116" i="8"/>
  <c r="Q124" i="98" s="1"/>
  <c r="R116" i="8"/>
  <c r="R124" i="98" s="1"/>
  <c r="S116" i="8"/>
  <c r="S124" i="98" s="1"/>
  <c r="T116" i="8"/>
  <c r="V116" i="8"/>
  <c r="W116" i="8"/>
  <c r="X116" i="8"/>
  <c r="Y116" i="8"/>
  <c r="Z93" i="8" s="1"/>
  <c r="Z14" i="9"/>
  <c r="Z15" i="9"/>
  <c r="Q36" i="9"/>
  <c r="Q44" i="98" s="1"/>
  <c r="R36" i="9"/>
  <c r="R44" i="98" s="1"/>
  <c r="S36" i="9"/>
  <c r="S44" i="98" s="1"/>
  <c r="T36" i="9"/>
  <c r="V36" i="9"/>
  <c r="W36" i="9"/>
  <c r="X36" i="9"/>
  <c r="Y36" i="9"/>
  <c r="Z12" i="9" s="1"/>
  <c r="U52" i="9"/>
  <c r="Q76" i="9"/>
  <c r="Q83" i="98" s="1"/>
  <c r="R76" i="9"/>
  <c r="R83" i="98" s="1"/>
  <c r="S76" i="9"/>
  <c r="S83" i="98" s="1"/>
  <c r="T76" i="9"/>
  <c r="V76" i="9"/>
  <c r="W76" i="9"/>
  <c r="X76" i="9"/>
  <c r="Y76" i="9"/>
  <c r="Z53" i="9" s="1"/>
  <c r="Q116" i="9"/>
  <c r="Q123" i="98" s="1"/>
  <c r="R116" i="9"/>
  <c r="R123" i="98" s="1"/>
  <c r="S116" i="9"/>
  <c r="S123" i="98" s="1"/>
  <c r="T116" i="9"/>
  <c r="V116" i="9"/>
  <c r="W116" i="9"/>
  <c r="X116" i="9"/>
  <c r="Y116" i="9"/>
  <c r="Z92" i="9" s="1"/>
  <c r="Q36" i="7"/>
  <c r="Q43" i="98" s="1"/>
  <c r="R36" i="7"/>
  <c r="R43" i="98" s="1"/>
  <c r="S36" i="7"/>
  <c r="S43" i="98" s="1"/>
  <c r="T36" i="7"/>
  <c r="V36" i="7"/>
  <c r="W36" i="7"/>
  <c r="X36" i="7"/>
  <c r="Y36" i="7"/>
  <c r="Z12" i="7" s="1"/>
  <c r="Q76" i="7"/>
  <c r="Q82" i="98" s="1"/>
  <c r="R76" i="7"/>
  <c r="R82" i="98" s="1"/>
  <c r="S76" i="7"/>
  <c r="S82" i="98" s="1"/>
  <c r="T76" i="7"/>
  <c r="V76" i="7"/>
  <c r="W76" i="7"/>
  <c r="X76" i="7"/>
  <c r="Y76" i="7"/>
  <c r="Z52" i="7" s="1"/>
  <c r="Q116" i="7"/>
  <c r="Q122" i="98" s="1"/>
  <c r="R116" i="7"/>
  <c r="R122" i="98" s="1"/>
  <c r="S116" i="7"/>
  <c r="S122" i="98" s="1"/>
  <c r="T116" i="7"/>
  <c r="V116" i="7"/>
  <c r="W116" i="7"/>
  <c r="X116" i="7"/>
  <c r="Y116" i="7"/>
  <c r="Z92" i="7" s="1"/>
  <c r="Q36" i="6"/>
  <c r="Q42" i="98" s="1"/>
  <c r="R36" i="6"/>
  <c r="R42" i="98" s="1"/>
  <c r="S36" i="6"/>
  <c r="S42" i="98" s="1"/>
  <c r="T36" i="6"/>
  <c r="V36" i="6"/>
  <c r="W36" i="6"/>
  <c r="X36" i="6"/>
  <c r="Y36" i="6"/>
  <c r="Z12" i="6" s="1"/>
  <c r="Q76" i="6"/>
  <c r="Q81" i="98" s="1"/>
  <c r="R76" i="6"/>
  <c r="R81" i="98" s="1"/>
  <c r="S76" i="6"/>
  <c r="S81" i="98" s="1"/>
  <c r="T76" i="6"/>
  <c r="V76" i="6"/>
  <c r="W76" i="6"/>
  <c r="X76" i="6"/>
  <c r="Y76" i="6"/>
  <c r="Z52" i="6" s="1"/>
  <c r="Q116" i="6"/>
  <c r="Q121" i="98" s="1"/>
  <c r="R116" i="6"/>
  <c r="R121" i="98" s="1"/>
  <c r="S116" i="6"/>
  <c r="S121" i="98" s="1"/>
  <c r="T116" i="6"/>
  <c r="V116" i="6"/>
  <c r="W116" i="6"/>
  <c r="X116" i="6"/>
  <c r="Y116" i="6"/>
  <c r="Z92" i="6" s="1"/>
  <c r="Q36" i="5"/>
  <c r="Q41" i="98" s="1"/>
  <c r="R36" i="5"/>
  <c r="R41" i="98" s="1"/>
  <c r="S36" i="5"/>
  <c r="S41" i="98" s="1"/>
  <c r="T36" i="5"/>
  <c r="V36" i="5"/>
  <c r="W36" i="5"/>
  <c r="X36" i="5"/>
  <c r="Y36" i="5"/>
  <c r="Z12" i="5" s="1"/>
  <c r="Q76" i="5"/>
  <c r="Q80" i="98" s="1"/>
  <c r="R76" i="5"/>
  <c r="R80" i="98" s="1"/>
  <c r="S76" i="5"/>
  <c r="S80" i="98" s="1"/>
  <c r="T76" i="5"/>
  <c r="V76" i="5"/>
  <c r="W76" i="5"/>
  <c r="X76" i="5"/>
  <c r="Y76" i="5"/>
  <c r="Z54" i="5" s="1"/>
  <c r="Q116" i="5"/>
  <c r="Q120" i="98" s="1"/>
  <c r="R116" i="5"/>
  <c r="R120" i="98" s="1"/>
  <c r="S116" i="5"/>
  <c r="S120" i="98" s="1"/>
  <c r="T116" i="5"/>
  <c r="V116" i="5"/>
  <c r="W116" i="5"/>
  <c r="X116" i="5"/>
  <c r="Y116" i="5"/>
  <c r="Z92" i="5" s="1"/>
  <c r="Z15" i="41"/>
  <c r="Q36" i="41"/>
  <c r="S36" i="41"/>
  <c r="T36" i="41"/>
  <c r="W36" i="41"/>
  <c r="X36" i="41"/>
  <c r="Y36" i="41"/>
  <c r="Z12" i="41" s="1"/>
  <c r="Z53" i="41"/>
  <c r="Q76" i="41"/>
  <c r="Q78" i="98" s="1"/>
  <c r="R76" i="41"/>
  <c r="R78" i="98" s="1"/>
  <c r="S76" i="41"/>
  <c r="S78" i="98" s="1"/>
  <c r="T76" i="41"/>
  <c r="V76" i="41"/>
  <c r="W76" i="41"/>
  <c r="X76" i="41"/>
  <c r="Y76" i="41"/>
  <c r="Z52" i="41" s="1"/>
  <c r="U92" i="41"/>
  <c r="Q116" i="41"/>
  <c r="Q118" i="98" s="1"/>
  <c r="R116" i="41"/>
  <c r="R118" i="98" s="1"/>
  <c r="S116" i="41"/>
  <c r="S118" i="98" s="1"/>
  <c r="T116" i="41"/>
  <c r="V116" i="41"/>
  <c r="W116" i="41"/>
  <c r="X116" i="41"/>
  <c r="Y116" i="41"/>
  <c r="Z92" i="41" s="1"/>
  <c r="Q36" i="49"/>
  <c r="Q33" i="98" s="1"/>
  <c r="S36" i="49"/>
  <c r="S33" i="98" s="1"/>
  <c r="T36" i="49"/>
  <c r="U13" i="49" s="1"/>
  <c r="W36" i="49"/>
  <c r="X36" i="49"/>
  <c r="Y36" i="49"/>
  <c r="Z12" i="49" s="1"/>
  <c r="Q76" i="49"/>
  <c r="Q77" i="98" s="1"/>
  <c r="R76" i="49"/>
  <c r="R77" i="98" s="1"/>
  <c r="S76" i="49"/>
  <c r="S77" i="98" s="1"/>
  <c r="T76" i="49"/>
  <c r="V76" i="49"/>
  <c r="W76" i="49"/>
  <c r="X76" i="49"/>
  <c r="Y76" i="49"/>
  <c r="Z52" i="49" s="1"/>
  <c r="Q116" i="49"/>
  <c r="Q117" i="98" s="1"/>
  <c r="R116" i="49"/>
  <c r="R117" i="98" s="1"/>
  <c r="S116" i="49"/>
  <c r="S117" i="98" s="1"/>
  <c r="T116" i="49"/>
  <c r="V116" i="49"/>
  <c r="W116" i="49"/>
  <c r="X116" i="49"/>
  <c r="Y116" i="49"/>
  <c r="Z92" i="49" s="1"/>
  <c r="Q36" i="47"/>
  <c r="Q32" i="98" s="1"/>
  <c r="S36" i="47"/>
  <c r="S32" i="98" s="1"/>
  <c r="X36" i="47"/>
  <c r="Y36" i="47"/>
  <c r="Z12" i="47" s="1"/>
  <c r="Q76" i="47"/>
  <c r="Q76" i="98" s="1"/>
  <c r="R76" i="47"/>
  <c r="R76" i="98" s="1"/>
  <c r="S76" i="47"/>
  <c r="S76" i="98" s="1"/>
  <c r="T76" i="47"/>
  <c r="V76" i="47"/>
  <c r="W76" i="47"/>
  <c r="X76" i="47"/>
  <c r="Y76" i="47"/>
  <c r="Z52" i="47" s="1"/>
  <c r="Z93" i="47"/>
  <c r="Q116" i="47"/>
  <c r="Q116" i="98" s="1"/>
  <c r="R116" i="47"/>
  <c r="R116" i="98" s="1"/>
  <c r="S116" i="47"/>
  <c r="S116" i="98" s="1"/>
  <c r="T116" i="47"/>
  <c r="V116" i="47"/>
  <c r="W116" i="47"/>
  <c r="X116" i="47"/>
  <c r="Y116" i="47"/>
  <c r="Z92" i="47" s="1"/>
  <c r="Z12" i="45"/>
  <c r="Q36" i="45"/>
  <c r="Q31" i="98" s="1"/>
  <c r="S36" i="45"/>
  <c r="S31" i="98" s="1"/>
  <c r="T36" i="45"/>
  <c r="W36" i="45"/>
  <c r="Y36" i="45"/>
  <c r="Z14" i="45" s="1"/>
  <c r="Z53" i="45"/>
  <c r="Z54" i="45"/>
  <c r="Z55" i="45"/>
  <c r="Q76" i="45"/>
  <c r="Q75" i="98" s="1"/>
  <c r="R76" i="45"/>
  <c r="R75" i="98" s="1"/>
  <c r="S76" i="45"/>
  <c r="S75" i="98" s="1"/>
  <c r="T76" i="45"/>
  <c r="V76" i="45"/>
  <c r="W76" i="45"/>
  <c r="X76" i="45"/>
  <c r="Y76" i="45"/>
  <c r="Z52" i="45" s="1"/>
  <c r="Q116" i="45"/>
  <c r="Q115" i="98" s="1"/>
  <c r="R116" i="45"/>
  <c r="R115" i="98" s="1"/>
  <c r="S116" i="45"/>
  <c r="S115" i="98" s="1"/>
  <c r="T116" i="45"/>
  <c r="V116" i="45"/>
  <c r="W116" i="45"/>
  <c r="X116" i="45"/>
  <c r="Y116" i="45"/>
  <c r="Z93" i="45" s="1"/>
  <c r="R36" i="38"/>
  <c r="R30" i="98" s="1"/>
  <c r="T36" i="38"/>
  <c r="V36" i="38"/>
  <c r="V30" i="98" s="1"/>
  <c r="W36" i="38"/>
  <c r="W30" i="98" s="1"/>
  <c r="X36" i="38"/>
  <c r="X30" i="98" s="1"/>
  <c r="Q76" i="38"/>
  <c r="Q74" i="98" s="1"/>
  <c r="R76" i="38"/>
  <c r="R74" i="98" s="1"/>
  <c r="S76" i="38"/>
  <c r="S74" i="98" s="1"/>
  <c r="T76" i="38"/>
  <c r="U53" i="38" s="1"/>
  <c r="V76" i="38"/>
  <c r="V74" i="98" s="1"/>
  <c r="W76" i="38"/>
  <c r="W74" i="98" s="1"/>
  <c r="X76" i="38"/>
  <c r="X74" i="98" s="1"/>
  <c r="Y76" i="38"/>
  <c r="Q116" i="38"/>
  <c r="Q114" i="98" s="1"/>
  <c r="R116" i="38"/>
  <c r="R114" i="98" s="1"/>
  <c r="S116" i="38"/>
  <c r="S114" i="98" s="1"/>
  <c r="T116" i="38"/>
  <c r="V116" i="38"/>
  <c r="V114" i="98" s="1"/>
  <c r="W116" i="38"/>
  <c r="W114" i="98" s="1"/>
  <c r="X116" i="38"/>
  <c r="X114" i="98" s="1"/>
  <c r="Y116" i="38"/>
  <c r="Q36" i="85"/>
  <c r="S36" i="85"/>
  <c r="T36" i="85"/>
  <c r="U15" i="85" s="1"/>
  <c r="V36" i="85"/>
  <c r="X36" i="85"/>
  <c r="Z53" i="85"/>
  <c r="Z55" i="85"/>
  <c r="Q76" i="85"/>
  <c r="Q73" i="98" s="1"/>
  <c r="R76" i="85"/>
  <c r="R73" i="98" s="1"/>
  <c r="S76" i="85"/>
  <c r="S73" i="98" s="1"/>
  <c r="T76" i="85"/>
  <c r="V76" i="85"/>
  <c r="W76" i="85"/>
  <c r="X76" i="85"/>
  <c r="Y76" i="85"/>
  <c r="Z52" i="85" s="1"/>
  <c r="Q116" i="85"/>
  <c r="Q113" i="98" s="1"/>
  <c r="R116" i="85"/>
  <c r="R113" i="98" s="1"/>
  <c r="S116" i="85"/>
  <c r="S113" i="98" s="1"/>
  <c r="T116" i="85"/>
  <c r="V116" i="85"/>
  <c r="W116" i="85"/>
  <c r="X116" i="85"/>
  <c r="Y116" i="85"/>
  <c r="Z92" i="85" s="1"/>
  <c r="Q36" i="83"/>
  <c r="Q25" i="98" s="1"/>
  <c r="S36" i="83"/>
  <c r="S25" i="98" s="1"/>
  <c r="T36" i="83"/>
  <c r="U15" i="83" s="1"/>
  <c r="X36" i="83"/>
  <c r="Y36" i="83"/>
  <c r="Z12" i="83" s="1"/>
  <c r="Q76" i="83"/>
  <c r="Q71" i="98" s="1"/>
  <c r="R76" i="83"/>
  <c r="R71" i="98" s="1"/>
  <c r="S76" i="83"/>
  <c r="S71" i="98" s="1"/>
  <c r="T76" i="83"/>
  <c r="V76" i="83"/>
  <c r="W76" i="83"/>
  <c r="X76" i="83"/>
  <c r="Y76" i="83"/>
  <c r="Z52" i="83" s="1"/>
  <c r="Z95" i="83"/>
  <c r="Q116" i="83"/>
  <c r="Q111" i="98" s="1"/>
  <c r="R116" i="83"/>
  <c r="R111" i="98" s="1"/>
  <c r="S116" i="83"/>
  <c r="S111" i="98" s="1"/>
  <c r="T116" i="83"/>
  <c r="V116" i="83"/>
  <c r="W116" i="83"/>
  <c r="X116" i="83"/>
  <c r="Y116" i="83"/>
  <c r="Z92" i="83" s="1"/>
  <c r="Z12" i="81"/>
  <c r="Z16" i="81"/>
  <c r="Q36" i="81"/>
  <c r="Q24" i="98" s="1"/>
  <c r="S36" i="81"/>
  <c r="S24" i="98" s="1"/>
  <c r="W36" i="81"/>
  <c r="Y36" i="81"/>
  <c r="Z14" i="81" s="1"/>
  <c r="Q76" i="81"/>
  <c r="Q70" i="98" s="1"/>
  <c r="R76" i="81"/>
  <c r="R70" i="98" s="1"/>
  <c r="S76" i="81"/>
  <c r="S70" i="98" s="1"/>
  <c r="T76" i="81"/>
  <c r="U55" i="81" s="1"/>
  <c r="V76" i="81"/>
  <c r="V70" i="98" s="1"/>
  <c r="W76" i="81"/>
  <c r="W70" i="98" s="1"/>
  <c r="X76" i="81"/>
  <c r="X70" i="98" s="1"/>
  <c r="Y76" i="81"/>
  <c r="Q116" i="81"/>
  <c r="Q110" i="98" s="1"/>
  <c r="R116" i="81"/>
  <c r="R110" i="98" s="1"/>
  <c r="S116" i="81"/>
  <c r="S110" i="98" s="1"/>
  <c r="T116" i="81"/>
  <c r="V116" i="81"/>
  <c r="V110" i="98" s="1"/>
  <c r="W116" i="81"/>
  <c r="W110" i="98" s="1"/>
  <c r="X116" i="81"/>
  <c r="X110" i="98" s="1"/>
  <c r="Y116" i="81"/>
  <c r="T76" i="69"/>
  <c r="S76" i="69"/>
  <c r="S72" i="98" s="1"/>
  <c r="R76" i="69"/>
  <c r="R72" i="98" s="1"/>
  <c r="Q76" i="69"/>
  <c r="Q72" i="98" s="1"/>
  <c r="T116" i="69"/>
  <c r="S116" i="69"/>
  <c r="S112" i="98" s="1"/>
  <c r="R116" i="69"/>
  <c r="R112" i="98" s="1"/>
  <c r="Q116" i="69"/>
  <c r="Q112" i="98" s="1"/>
  <c r="T36" i="69"/>
  <c r="S36" i="69"/>
  <c r="S26" i="98" s="1"/>
  <c r="W36" i="32"/>
  <c r="Q36" i="32"/>
  <c r="Q22" i="98" s="1"/>
  <c r="R36" i="32"/>
  <c r="R22" i="98" s="1"/>
  <c r="S36" i="32"/>
  <c r="S22" i="98" s="1"/>
  <c r="T36" i="32"/>
  <c r="V36" i="32"/>
  <c r="X36" i="32"/>
  <c r="Z52" i="32"/>
  <c r="Z55" i="32"/>
  <c r="Z56" i="32"/>
  <c r="Q76" i="32"/>
  <c r="Q68" i="98" s="1"/>
  <c r="R76" i="32"/>
  <c r="R68" i="98" s="1"/>
  <c r="S76" i="32"/>
  <c r="S68" i="98" s="1"/>
  <c r="T76" i="32"/>
  <c r="V76" i="32"/>
  <c r="W76" i="32"/>
  <c r="X76" i="32"/>
  <c r="Y76" i="32"/>
  <c r="Z53" i="32" s="1"/>
  <c r="Q116" i="32"/>
  <c r="Q108" i="98" s="1"/>
  <c r="R116" i="32"/>
  <c r="R108" i="98" s="1"/>
  <c r="S116" i="32"/>
  <c r="S108" i="98" s="1"/>
  <c r="T116" i="32"/>
  <c r="V116" i="32"/>
  <c r="W116" i="32"/>
  <c r="X116" i="32"/>
  <c r="Y116" i="32"/>
  <c r="Z94" i="32" s="1"/>
  <c r="T116" i="73"/>
  <c r="S116" i="73"/>
  <c r="R116" i="73"/>
  <c r="Q116" i="73"/>
  <c r="T76" i="73"/>
  <c r="S76" i="73"/>
  <c r="R76" i="73"/>
  <c r="Q76" i="73"/>
  <c r="T36" i="73"/>
  <c r="S36" i="73"/>
  <c r="R36" i="73"/>
  <c r="X36" i="24"/>
  <c r="V36" i="24"/>
  <c r="T36" i="24"/>
  <c r="R36" i="24"/>
  <c r="Q36" i="24"/>
  <c r="Y36" i="28"/>
  <c r="Y36" i="22"/>
  <c r="T36" i="22"/>
  <c r="T17" i="98" s="1"/>
  <c r="Q36" i="28"/>
  <c r="Q19" i="98" s="1"/>
  <c r="R36" i="28"/>
  <c r="R19" i="98" s="1"/>
  <c r="S36" i="28"/>
  <c r="S19" i="98" s="1"/>
  <c r="T36" i="28"/>
  <c r="V36" i="28"/>
  <c r="W36" i="28"/>
  <c r="X36" i="28"/>
  <c r="Q76" i="28"/>
  <c r="Q64" i="98" s="1"/>
  <c r="R76" i="28"/>
  <c r="R64" i="98" s="1"/>
  <c r="S76" i="28"/>
  <c r="S64" i="98" s="1"/>
  <c r="T76" i="28"/>
  <c r="V76" i="28"/>
  <c r="W76" i="28"/>
  <c r="X76" i="28"/>
  <c r="Y76" i="28"/>
  <c r="Q116" i="28"/>
  <c r="Q104" i="98" s="1"/>
  <c r="R116" i="28"/>
  <c r="R104" i="98" s="1"/>
  <c r="S116" i="28"/>
  <c r="S104" i="98" s="1"/>
  <c r="T116" i="28"/>
  <c r="V116" i="28"/>
  <c r="W116" i="28"/>
  <c r="X116" i="28"/>
  <c r="Y116" i="28"/>
  <c r="S36" i="24"/>
  <c r="W36" i="24"/>
  <c r="Q76" i="24"/>
  <c r="Q63" i="98" s="1"/>
  <c r="R76" i="24"/>
  <c r="R63" i="98" s="1"/>
  <c r="S76" i="24"/>
  <c r="S63" i="98" s="1"/>
  <c r="T76" i="24"/>
  <c r="V76" i="24"/>
  <c r="W76" i="24"/>
  <c r="X76" i="24"/>
  <c r="Y76" i="24"/>
  <c r="Q116" i="24"/>
  <c r="Q103" i="98" s="1"/>
  <c r="R116" i="24"/>
  <c r="R103" i="98" s="1"/>
  <c r="S116" i="24"/>
  <c r="S103" i="98" s="1"/>
  <c r="T116" i="24"/>
  <c r="V116" i="24"/>
  <c r="W116" i="24"/>
  <c r="X116" i="24"/>
  <c r="Y116" i="24"/>
  <c r="Q36" i="22"/>
  <c r="Q17" i="98" s="1"/>
  <c r="R36" i="22"/>
  <c r="R17" i="98" s="1"/>
  <c r="S36" i="22"/>
  <c r="S17" i="98" s="1"/>
  <c r="V36" i="22"/>
  <c r="W36" i="22"/>
  <c r="X36" i="22"/>
  <c r="Q76" i="22"/>
  <c r="Q62" i="98" s="1"/>
  <c r="R76" i="22"/>
  <c r="R62" i="98" s="1"/>
  <c r="S76" i="22"/>
  <c r="S62" i="98" s="1"/>
  <c r="T76" i="22"/>
  <c r="V76" i="22"/>
  <c r="W76" i="22"/>
  <c r="X76" i="22"/>
  <c r="Y76" i="22"/>
  <c r="Z54" i="22" s="1"/>
  <c r="Q116" i="22"/>
  <c r="Q102" i="98" s="1"/>
  <c r="R116" i="22"/>
  <c r="R102" i="98" s="1"/>
  <c r="S116" i="22"/>
  <c r="S102" i="98" s="1"/>
  <c r="T116" i="22"/>
  <c r="V116" i="22"/>
  <c r="W116" i="22"/>
  <c r="X116" i="22"/>
  <c r="Y116" i="22"/>
  <c r="Z94" i="22" s="1"/>
  <c r="Q61" i="98"/>
  <c r="R61" i="98"/>
  <c r="S61" i="98"/>
  <c r="V61" i="98"/>
  <c r="W61" i="98"/>
  <c r="X61" i="98"/>
  <c r="Q101" i="98"/>
  <c r="R101" i="98"/>
  <c r="S101" i="98"/>
  <c r="V101" i="98"/>
  <c r="W101" i="98"/>
  <c r="X101" i="98"/>
  <c r="Q15" i="98"/>
  <c r="R15" i="98"/>
  <c r="S15" i="98"/>
  <c r="V15" i="98"/>
  <c r="W15" i="98"/>
  <c r="X15" i="98"/>
  <c r="Q60" i="98"/>
  <c r="R60" i="98"/>
  <c r="S60" i="98"/>
  <c r="U55" i="15"/>
  <c r="V60" i="98"/>
  <c r="W60" i="98"/>
  <c r="X60" i="98"/>
  <c r="Z54" i="15"/>
  <c r="Q100" i="98"/>
  <c r="R100" i="98"/>
  <c r="S100" i="98"/>
  <c r="V100" i="98"/>
  <c r="W100" i="98"/>
  <c r="X100" i="98"/>
  <c r="X36" i="13"/>
  <c r="V36" i="13"/>
  <c r="S36" i="13"/>
  <c r="Q36" i="13"/>
  <c r="R36" i="13"/>
  <c r="T36" i="13"/>
  <c r="T35" i="98" s="1"/>
  <c r="W36" i="13"/>
  <c r="Y36" i="13"/>
  <c r="Z12" i="13" s="1"/>
  <c r="Q76" i="13"/>
  <c r="Q59" i="98" s="1"/>
  <c r="R76" i="13"/>
  <c r="R59" i="98" s="1"/>
  <c r="S76" i="13"/>
  <c r="S59" i="98" s="1"/>
  <c r="T76" i="13"/>
  <c r="V76" i="13"/>
  <c r="W76" i="13"/>
  <c r="X76" i="13"/>
  <c r="Y76" i="13"/>
  <c r="Z52" i="13" s="1"/>
  <c r="Q116" i="13"/>
  <c r="Q99" i="98" s="1"/>
  <c r="R116" i="13"/>
  <c r="R99" i="98" s="1"/>
  <c r="S116" i="13"/>
  <c r="S99" i="98" s="1"/>
  <c r="T116" i="13"/>
  <c r="V116" i="13"/>
  <c r="W116" i="13"/>
  <c r="X116" i="13"/>
  <c r="Y116" i="13"/>
  <c r="Z92" i="13" s="1"/>
  <c r="Q36" i="64"/>
  <c r="Q13" i="98" s="1"/>
  <c r="R36" i="64"/>
  <c r="R13" i="98" s="1"/>
  <c r="S36" i="64"/>
  <c r="S13" i="98" s="1"/>
  <c r="T36" i="64"/>
  <c r="U13" i="64" s="1"/>
  <c r="V36" i="64"/>
  <c r="W36" i="64"/>
  <c r="X36" i="64"/>
  <c r="Y36" i="64"/>
  <c r="Z12" i="64" s="1"/>
  <c r="Q76" i="64"/>
  <c r="Q58" i="98" s="1"/>
  <c r="R76" i="64"/>
  <c r="R58" i="98" s="1"/>
  <c r="S76" i="64"/>
  <c r="S58" i="98" s="1"/>
  <c r="T76" i="64"/>
  <c r="V76" i="64"/>
  <c r="W76" i="64"/>
  <c r="X76" i="64"/>
  <c r="Y76" i="64"/>
  <c r="Z52" i="64" s="1"/>
  <c r="Q116" i="64"/>
  <c r="Q98" i="98" s="1"/>
  <c r="R116" i="64"/>
  <c r="R98" i="98" s="1"/>
  <c r="S116" i="64"/>
  <c r="S98" i="98" s="1"/>
  <c r="T116" i="64"/>
  <c r="V116" i="64"/>
  <c r="W116" i="64"/>
  <c r="X116" i="64"/>
  <c r="Y116" i="64"/>
  <c r="Z92" i="64" s="1"/>
  <c r="Y36" i="10"/>
  <c r="T36" i="10"/>
  <c r="U21" i="10" s="1"/>
  <c r="Q36" i="10"/>
  <c r="Q12" i="98" s="1"/>
  <c r="R36" i="10"/>
  <c r="R12" i="98" s="1"/>
  <c r="S36" i="10"/>
  <c r="S12" i="98" s="1"/>
  <c r="W36" i="10"/>
  <c r="W12" i="98" s="1"/>
  <c r="X36" i="10"/>
  <c r="X12" i="98" s="1"/>
  <c r="Q76" i="10"/>
  <c r="Q57" i="98" s="1"/>
  <c r="R76" i="10"/>
  <c r="R57" i="98" s="1"/>
  <c r="S76" i="10"/>
  <c r="S57" i="98" s="1"/>
  <c r="T76" i="10"/>
  <c r="U61" i="10" s="1"/>
  <c r="W76" i="10"/>
  <c r="W57" i="98" s="1"/>
  <c r="X76" i="10"/>
  <c r="X57" i="98" s="1"/>
  <c r="Y76" i="10"/>
  <c r="Q116" i="10"/>
  <c r="Q97" i="98" s="1"/>
  <c r="R116" i="10"/>
  <c r="R97" i="98" s="1"/>
  <c r="S116" i="10"/>
  <c r="S97" i="98" s="1"/>
  <c r="T116" i="10"/>
  <c r="U101" i="10" s="1"/>
  <c r="W116" i="10"/>
  <c r="W97" i="98" s="1"/>
  <c r="X116" i="10"/>
  <c r="X97" i="98" s="1"/>
  <c r="Y116" i="10"/>
  <c r="A209" i="97"/>
  <c r="A13" i="22" s="1"/>
  <c r="A181" i="97"/>
  <c r="A169" i="97"/>
  <c r="A16" i="10" s="1"/>
  <c r="A96" i="10" s="1"/>
  <c r="U12" i="45" l="1"/>
  <c r="T31" i="98"/>
  <c r="U92" i="7"/>
  <c r="T122" i="98"/>
  <c r="U93" i="7"/>
  <c r="U52" i="47"/>
  <c r="T76" i="98"/>
  <c r="U53" i="47"/>
  <c r="U54" i="41"/>
  <c r="T78" i="98"/>
  <c r="U12" i="41"/>
  <c r="T40" i="98"/>
  <c r="T34" i="98"/>
  <c r="U92" i="5"/>
  <c r="T120" i="98"/>
  <c r="U52" i="5"/>
  <c r="T80" i="98"/>
  <c r="U12" i="5"/>
  <c r="T41" i="98"/>
  <c r="U96" i="6"/>
  <c r="T121" i="98"/>
  <c r="U95" i="6"/>
  <c r="U52" i="7"/>
  <c r="T82" i="98"/>
  <c r="U55" i="7"/>
  <c r="U12" i="9"/>
  <c r="T44" i="98"/>
  <c r="U96" i="69"/>
  <c r="U92" i="69"/>
  <c r="U93" i="69"/>
  <c r="U95" i="69"/>
  <c r="U94" i="69"/>
  <c r="U97" i="69"/>
  <c r="U98" i="69"/>
  <c r="T112" i="98"/>
  <c r="U18" i="69"/>
  <c r="U14" i="69"/>
  <c r="U12" i="69"/>
  <c r="U17" i="69"/>
  <c r="U13" i="69"/>
  <c r="U16" i="69"/>
  <c r="U15" i="69"/>
  <c r="T26" i="98"/>
  <c r="U12" i="83"/>
  <c r="T25" i="98"/>
  <c r="U92" i="85"/>
  <c r="T113" i="98"/>
  <c r="U52" i="85"/>
  <c r="T73" i="98"/>
  <c r="U12" i="85"/>
  <c r="T39" i="98"/>
  <c r="T27" i="98"/>
  <c r="U92" i="38"/>
  <c r="T114" i="98"/>
  <c r="U92" i="49"/>
  <c r="T117" i="98"/>
  <c r="U52" i="49"/>
  <c r="T77" i="98"/>
  <c r="U53" i="49"/>
  <c r="U12" i="49"/>
  <c r="T33" i="98"/>
  <c r="U96" i="41"/>
  <c r="T118" i="98"/>
  <c r="U95" i="41"/>
  <c r="S40" i="98"/>
  <c r="S34" i="98"/>
  <c r="U94" i="6"/>
  <c r="U12" i="7"/>
  <c r="T43" i="98"/>
  <c r="U15" i="7"/>
  <c r="R40" i="98"/>
  <c r="R34" i="98"/>
  <c r="U55" i="69"/>
  <c r="U57" i="69"/>
  <c r="U52" i="69"/>
  <c r="U58" i="69"/>
  <c r="U54" i="69"/>
  <c r="U56" i="69"/>
  <c r="U53" i="69"/>
  <c r="T72" i="98"/>
  <c r="U52" i="83"/>
  <c r="T71" i="98"/>
  <c r="Q39" i="98"/>
  <c r="Q27" i="98"/>
  <c r="U92" i="47"/>
  <c r="T116" i="98"/>
  <c r="U12" i="6"/>
  <c r="T42" i="98"/>
  <c r="U92" i="83"/>
  <c r="T111" i="98"/>
  <c r="S39" i="98"/>
  <c r="S27" i="98"/>
  <c r="U92" i="45"/>
  <c r="T115" i="98"/>
  <c r="U52" i="45"/>
  <c r="T75" i="98"/>
  <c r="U93" i="41"/>
  <c r="Q40" i="98"/>
  <c r="Q34" i="98"/>
  <c r="U52" i="6"/>
  <c r="T81" i="98"/>
  <c r="U55" i="6"/>
  <c r="U92" i="9"/>
  <c r="T123" i="98"/>
  <c r="U53" i="9"/>
  <c r="T83" i="98"/>
  <c r="U54" i="9"/>
  <c r="U92" i="8"/>
  <c r="T124" i="98"/>
  <c r="U53" i="8"/>
  <c r="T84" i="98"/>
  <c r="U12" i="8"/>
  <c r="T45" i="98"/>
  <c r="U92" i="68"/>
  <c r="T125" i="98"/>
  <c r="U52" i="68"/>
  <c r="T85" i="98"/>
  <c r="U55" i="68"/>
  <c r="U12" i="68"/>
  <c r="T28" i="98"/>
  <c r="U12" i="81"/>
  <c r="T24" i="98"/>
  <c r="R39" i="98"/>
  <c r="R27" i="98"/>
  <c r="R14" i="98"/>
  <c r="R35" i="98"/>
  <c r="S107" i="98"/>
  <c r="S105" i="98"/>
  <c r="S106" i="98"/>
  <c r="U92" i="22"/>
  <c r="T102" i="98"/>
  <c r="U93" i="22"/>
  <c r="U97" i="28"/>
  <c r="U93" i="28"/>
  <c r="U95" i="28"/>
  <c r="U96" i="28"/>
  <c r="U92" i="28"/>
  <c r="U94" i="28"/>
  <c r="T104" i="98"/>
  <c r="T38" i="98"/>
  <c r="U15" i="24"/>
  <c r="U17" i="24"/>
  <c r="U12" i="24"/>
  <c r="U18" i="24"/>
  <c r="U14" i="24"/>
  <c r="U13" i="24"/>
  <c r="U16" i="24"/>
  <c r="T18" i="98"/>
  <c r="Q67" i="98"/>
  <c r="Q66" i="98"/>
  <c r="Q65" i="98"/>
  <c r="Q20" i="98"/>
  <c r="Q21" i="98"/>
  <c r="S14" i="98"/>
  <c r="S35" i="98"/>
  <c r="S20" i="98"/>
  <c r="S21" i="98"/>
  <c r="R67" i="98"/>
  <c r="R66" i="98"/>
  <c r="R65" i="98"/>
  <c r="Q107" i="98"/>
  <c r="Q105" i="98"/>
  <c r="Q106" i="98"/>
  <c r="U92" i="32"/>
  <c r="T108" i="98"/>
  <c r="U53" i="32"/>
  <c r="T68" i="98"/>
  <c r="S38" i="98"/>
  <c r="S18" i="98"/>
  <c r="U17" i="28"/>
  <c r="U13" i="28"/>
  <c r="U14" i="28"/>
  <c r="U16" i="28"/>
  <c r="U12" i="28"/>
  <c r="U15" i="28"/>
  <c r="T19" i="98"/>
  <c r="R38" i="98"/>
  <c r="R18" i="98"/>
  <c r="U58" i="73"/>
  <c r="U54" i="73"/>
  <c r="U52" i="73"/>
  <c r="U55" i="73"/>
  <c r="U57" i="73"/>
  <c r="U53" i="73"/>
  <c r="U56" i="73"/>
  <c r="T65" i="98"/>
  <c r="T67" i="98"/>
  <c r="T66" i="98"/>
  <c r="Q14" i="98"/>
  <c r="Q35" i="98"/>
  <c r="U52" i="22"/>
  <c r="T62" i="98"/>
  <c r="U53" i="22"/>
  <c r="U55" i="28"/>
  <c r="U53" i="28"/>
  <c r="U56" i="28"/>
  <c r="U54" i="28"/>
  <c r="U57" i="28"/>
  <c r="U52" i="28"/>
  <c r="T64" i="98"/>
  <c r="R20" i="98"/>
  <c r="R21" i="98"/>
  <c r="U95" i="73"/>
  <c r="U93" i="73"/>
  <c r="U96" i="73"/>
  <c r="U98" i="73"/>
  <c r="U94" i="73"/>
  <c r="U97" i="73"/>
  <c r="U92" i="73"/>
  <c r="T107" i="98"/>
  <c r="T105" i="98"/>
  <c r="T106" i="98"/>
  <c r="U97" i="24"/>
  <c r="U93" i="24"/>
  <c r="U95" i="24"/>
  <c r="U94" i="24"/>
  <c r="U96" i="24"/>
  <c r="U92" i="24"/>
  <c r="U98" i="24"/>
  <c r="T103" i="98"/>
  <c r="U56" i="24"/>
  <c r="U52" i="24"/>
  <c r="U54" i="24"/>
  <c r="U53" i="24"/>
  <c r="U55" i="24"/>
  <c r="U58" i="24"/>
  <c r="U57" i="24"/>
  <c r="T63" i="98"/>
  <c r="Q38" i="98"/>
  <c r="Q18" i="98"/>
  <c r="U17" i="73"/>
  <c r="U13" i="73"/>
  <c r="U14" i="73"/>
  <c r="U16" i="73"/>
  <c r="U12" i="73"/>
  <c r="U15" i="73"/>
  <c r="U18" i="73"/>
  <c r="T21" i="98"/>
  <c r="T20" i="98"/>
  <c r="S66" i="98"/>
  <c r="S65" i="98"/>
  <c r="S67" i="98"/>
  <c r="R106" i="98"/>
  <c r="R107" i="98"/>
  <c r="R105" i="98"/>
  <c r="U12" i="32"/>
  <c r="T22" i="98"/>
  <c r="Z57" i="15"/>
  <c r="Z94" i="15"/>
  <c r="Y100" i="98"/>
  <c r="U95" i="15"/>
  <c r="T100" i="98"/>
  <c r="U96" i="15"/>
  <c r="Z94" i="17"/>
  <c r="Y101" i="98"/>
  <c r="U95" i="17"/>
  <c r="T101" i="98"/>
  <c r="U57" i="17"/>
  <c r="T61" i="98"/>
  <c r="U94" i="15"/>
  <c r="Z55" i="15"/>
  <c r="Y60" i="98"/>
  <c r="U54" i="15"/>
  <c r="T60" i="98"/>
  <c r="Z58" i="15"/>
  <c r="Z55" i="17"/>
  <c r="Y61" i="98"/>
  <c r="S37" i="98"/>
  <c r="S16" i="98"/>
  <c r="Y15" i="98"/>
  <c r="X37" i="98"/>
  <c r="X16" i="98"/>
  <c r="R37" i="98"/>
  <c r="R16" i="98"/>
  <c r="W37" i="98"/>
  <c r="W16" i="98"/>
  <c r="Q37" i="98"/>
  <c r="Q16" i="98"/>
  <c r="Y37" i="98"/>
  <c r="Y16" i="98"/>
  <c r="V37" i="98"/>
  <c r="V16" i="98"/>
  <c r="T37" i="98"/>
  <c r="T16" i="98"/>
  <c r="Z92" i="38"/>
  <c r="Y114" i="98"/>
  <c r="Z93" i="38"/>
  <c r="Z52" i="38"/>
  <c r="Y74" i="98"/>
  <c r="Z53" i="38"/>
  <c r="U12" i="38"/>
  <c r="T30" i="98"/>
  <c r="U52" i="38"/>
  <c r="T74" i="98"/>
  <c r="Z92" i="81"/>
  <c r="Y110" i="98"/>
  <c r="U92" i="81"/>
  <c r="T110" i="98"/>
  <c r="Z53" i="81"/>
  <c r="Y70" i="98"/>
  <c r="U52" i="81"/>
  <c r="T70" i="98"/>
  <c r="U54" i="81"/>
  <c r="Y12" i="98"/>
  <c r="Z21" i="10"/>
  <c r="Z52" i="10"/>
  <c r="Y57" i="98"/>
  <c r="Z92" i="10"/>
  <c r="Y97" i="98"/>
  <c r="U12" i="13"/>
  <c r="T14" i="98"/>
  <c r="U92" i="13"/>
  <c r="T99" i="98"/>
  <c r="U95" i="13"/>
  <c r="U52" i="13"/>
  <c r="T59" i="98"/>
  <c r="U92" i="64"/>
  <c r="T98" i="98"/>
  <c r="U52" i="64"/>
  <c r="T58" i="98"/>
  <c r="U12" i="64"/>
  <c r="T13" i="98"/>
  <c r="U96" i="10"/>
  <c r="T97" i="98"/>
  <c r="U13" i="10"/>
  <c r="T12" i="98"/>
  <c r="U52" i="10"/>
  <c r="T57" i="98"/>
  <c r="U56" i="9"/>
  <c r="U97" i="7"/>
  <c r="U95" i="7"/>
  <c r="U53" i="7"/>
  <c r="U57" i="7"/>
  <c r="U97" i="6"/>
  <c r="U92" i="6"/>
  <c r="U56" i="6"/>
  <c r="U54" i="6"/>
  <c r="U57" i="6"/>
  <c r="Z94" i="9"/>
  <c r="Z54" i="9"/>
  <c r="Z95" i="9"/>
  <c r="Z92" i="8"/>
  <c r="Z116" i="8" s="1"/>
  <c r="Z94" i="6"/>
  <c r="Z97" i="7"/>
  <c r="Z93" i="7"/>
  <c r="Z94" i="5"/>
  <c r="Z96" i="6"/>
  <c r="Z93" i="5"/>
  <c r="Z95" i="7"/>
  <c r="Z97" i="9"/>
  <c r="Z93" i="9"/>
  <c r="Z96" i="9"/>
  <c r="Z53" i="5"/>
  <c r="Z52" i="5"/>
  <c r="Z55" i="7"/>
  <c r="Z54" i="6"/>
  <c r="Z56" i="6"/>
  <c r="Z57" i="7"/>
  <c r="Z53" i="7"/>
  <c r="Z53" i="8"/>
  <c r="Z76" i="8" s="1"/>
  <c r="Z56" i="9"/>
  <c r="Z52" i="9"/>
  <c r="U13" i="68"/>
  <c r="U14" i="41"/>
  <c r="Z15" i="49"/>
  <c r="Z16" i="45"/>
  <c r="Z13" i="45"/>
  <c r="U13" i="38"/>
  <c r="Z13" i="81"/>
  <c r="Z17" i="81"/>
  <c r="U17" i="68"/>
  <c r="U15" i="68"/>
  <c r="Z13" i="41"/>
  <c r="U16" i="41"/>
  <c r="U13" i="41"/>
  <c r="U15" i="41"/>
  <c r="Z13" i="49"/>
  <c r="U15" i="49"/>
  <c r="Z15" i="47"/>
  <c r="Z13" i="47"/>
  <c r="U12" i="47"/>
  <c r="U13" i="47"/>
  <c r="U15" i="47"/>
  <c r="Z15" i="45"/>
  <c r="Z36" i="45" s="1"/>
  <c r="Z12" i="38"/>
  <c r="Z15" i="38"/>
  <c r="Z13" i="38"/>
  <c r="U15" i="38"/>
  <c r="Z12" i="85"/>
  <c r="Z17" i="85"/>
  <c r="Z13" i="85"/>
  <c r="Z15" i="85"/>
  <c r="U17" i="85"/>
  <c r="U13" i="85"/>
  <c r="Z15" i="83"/>
  <c r="Z13" i="83"/>
  <c r="Z17" i="83"/>
  <c r="U17" i="83"/>
  <c r="U13" i="83"/>
  <c r="Z15" i="81"/>
  <c r="Z36" i="81" s="1"/>
  <c r="U97" i="68"/>
  <c r="U95" i="68"/>
  <c r="U93" i="68"/>
  <c r="U57" i="68"/>
  <c r="Z98" i="68"/>
  <c r="Z96" i="68"/>
  <c r="Z94" i="68"/>
  <c r="Z92" i="68"/>
  <c r="Z58" i="68"/>
  <c r="Z56" i="68"/>
  <c r="Z54" i="68"/>
  <c r="Z52" i="68"/>
  <c r="Z18" i="68"/>
  <c r="Z16" i="68"/>
  <c r="Z14" i="68"/>
  <c r="Z12" i="68"/>
  <c r="U98" i="68"/>
  <c r="U96" i="68"/>
  <c r="U94" i="68"/>
  <c r="U58" i="68"/>
  <c r="U56" i="68"/>
  <c r="U54" i="68"/>
  <c r="U18" i="68"/>
  <c r="U16" i="68"/>
  <c r="U14" i="68"/>
  <c r="Z97" i="68"/>
  <c r="Z95" i="68"/>
  <c r="Z57" i="68"/>
  <c r="Z55" i="68"/>
  <c r="Z17" i="68"/>
  <c r="Z15" i="68"/>
  <c r="Z13" i="8"/>
  <c r="Z36" i="8" s="1"/>
  <c r="U93" i="8"/>
  <c r="U52" i="8"/>
  <c r="U76" i="8" s="1"/>
  <c r="U84" i="98" s="1"/>
  <c r="U13" i="8"/>
  <c r="Z17" i="9"/>
  <c r="Z13" i="9"/>
  <c r="Z16" i="9"/>
  <c r="Z13" i="7"/>
  <c r="Z17" i="7"/>
  <c r="Z15" i="7"/>
  <c r="U17" i="7"/>
  <c r="U13" i="7"/>
  <c r="Z16" i="6"/>
  <c r="Z14" i="6"/>
  <c r="U15" i="6"/>
  <c r="U17" i="6"/>
  <c r="U14" i="6"/>
  <c r="U16" i="6"/>
  <c r="Z14" i="5"/>
  <c r="Z13" i="5"/>
  <c r="Z36" i="5" s="1"/>
  <c r="Z95" i="41"/>
  <c r="Z93" i="41"/>
  <c r="U94" i="41"/>
  <c r="Z55" i="41"/>
  <c r="U56" i="41"/>
  <c r="U53" i="41"/>
  <c r="U55" i="41"/>
  <c r="U52" i="41"/>
  <c r="Z95" i="49"/>
  <c r="Z93" i="49"/>
  <c r="U95" i="49"/>
  <c r="U93" i="49"/>
  <c r="Z55" i="49"/>
  <c r="Z53" i="49"/>
  <c r="U55" i="49"/>
  <c r="Z95" i="47"/>
  <c r="U95" i="47"/>
  <c r="U93" i="47"/>
  <c r="Z55" i="47"/>
  <c r="Z53" i="47"/>
  <c r="U55" i="47"/>
  <c r="Z96" i="45"/>
  <c r="Z92" i="45"/>
  <c r="Z95" i="45"/>
  <c r="Z94" i="45"/>
  <c r="Z56" i="45"/>
  <c r="Z76" i="45" s="1"/>
  <c r="Z95" i="38"/>
  <c r="U95" i="38"/>
  <c r="U93" i="38"/>
  <c r="Z55" i="38"/>
  <c r="U55" i="38"/>
  <c r="U97" i="9"/>
  <c r="U95" i="9"/>
  <c r="U93" i="9"/>
  <c r="U17" i="9"/>
  <c r="U15" i="9"/>
  <c r="U13" i="9"/>
  <c r="Z57" i="9"/>
  <c r="Z55" i="9"/>
  <c r="U96" i="9"/>
  <c r="U94" i="9"/>
  <c r="U57" i="9"/>
  <c r="U55" i="9"/>
  <c r="U16" i="9"/>
  <c r="U14" i="9"/>
  <c r="Z98" i="7"/>
  <c r="Z96" i="7"/>
  <c r="Z94" i="7"/>
  <c r="Z58" i="7"/>
  <c r="Z56" i="7"/>
  <c r="Z54" i="7"/>
  <c r="Z18" i="7"/>
  <c r="Z16" i="7"/>
  <c r="Z14" i="7"/>
  <c r="U98" i="7"/>
  <c r="U96" i="7"/>
  <c r="U94" i="7"/>
  <c r="U58" i="7"/>
  <c r="U56" i="7"/>
  <c r="U54" i="7"/>
  <c r="U18" i="7"/>
  <c r="U16" i="7"/>
  <c r="U14" i="7"/>
  <c r="Z97" i="6"/>
  <c r="Z95" i="6"/>
  <c r="Z57" i="6"/>
  <c r="Z55" i="6"/>
  <c r="Z17" i="6"/>
  <c r="Z15" i="6"/>
  <c r="Z36" i="6" s="1"/>
  <c r="U93" i="5"/>
  <c r="U53" i="5"/>
  <c r="U13" i="5"/>
  <c r="U94" i="5"/>
  <c r="U54" i="5"/>
  <c r="U14" i="5"/>
  <c r="Z96" i="41"/>
  <c r="Z94" i="41"/>
  <c r="Z116" i="41" s="1"/>
  <c r="Z56" i="41"/>
  <c r="Z54" i="41"/>
  <c r="Z16" i="41"/>
  <c r="Z14" i="41"/>
  <c r="Z36" i="41" s="1"/>
  <c r="Z96" i="49"/>
  <c r="Z94" i="49"/>
  <c r="Z116" i="49" s="1"/>
  <c r="Z56" i="49"/>
  <c r="Z54" i="49"/>
  <c r="Z16" i="49"/>
  <c r="Z14" i="49"/>
  <c r="Z36" i="49" s="1"/>
  <c r="U96" i="49"/>
  <c r="U94" i="49"/>
  <c r="U56" i="49"/>
  <c r="U54" i="49"/>
  <c r="U16" i="49"/>
  <c r="U14" i="49"/>
  <c r="U36" i="49" s="1"/>
  <c r="U33" i="98" s="1"/>
  <c r="Z96" i="47"/>
  <c r="Z94" i="47"/>
  <c r="Z56" i="47"/>
  <c r="Z54" i="47"/>
  <c r="Z16" i="47"/>
  <c r="Z14" i="47"/>
  <c r="Z36" i="47" s="1"/>
  <c r="U96" i="47"/>
  <c r="U94" i="47"/>
  <c r="U56" i="47"/>
  <c r="U54" i="47"/>
  <c r="U16" i="47"/>
  <c r="U14" i="47"/>
  <c r="U95" i="45"/>
  <c r="U93" i="45"/>
  <c r="U55" i="45"/>
  <c r="U53" i="45"/>
  <c r="U15" i="45"/>
  <c r="U13" i="45"/>
  <c r="U96" i="45"/>
  <c r="U94" i="45"/>
  <c r="U56" i="45"/>
  <c r="U54" i="45"/>
  <c r="U16" i="45"/>
  <c r="U14" i="45"/>
  <c r="Z96" i="38"/>
  <c r="Z94" i="38"/>
  <c r="Z56" i="38"/>
  <c r="Z54" i="38"/>
  <c r="Z16" i="38"/>
  <c r="Z14" i="38"/>
  <c r="U96" i="38"/>
  <c r="U94" i="38"/>
  <c r="U116" i="38" s="1"/>
  <c r="U114" i="98" s="1"/>
  <c r="U56" i="38"/>
  <c r="U54" i="38"/>
  <c r="U16" i="38"/>
  <c r="U14" i="38"/>
  <c r="U36" i="38" s="1"/>
  <c r="U30" i="98" s="1"/>
  <c r="Z95" i="85"/>
  <c r="Z97" i="85"/>
  <c r="Z93" i="85"/>
  <c r="U95" i="85"/>
  <c r="U97" i="85"/>
  <c r="U93" i="85"/>
  <c r="Z57" i="85"/>
  <c r="U53" i="85"/>
  <c r="U57" i="85"/>
  <c r="U55" i="85"/>
  <c r="Z98" i="85"/>
  <c r="Z96" i="85"/>
  <c r="Z116" i="85" s="1"/>
  <c r="Z94" i="85"/>
  <c r="Z58" i="85"/>
  <c r="Z56" i="85"/>
  <c r="Z54" i="85"/>
  <c r="Z18" i="85"/>
  <c r="Z16" i="85"/>
  <c r="Z14" i="85"/>
  <c r="U98" i="85"/>
  <c r="U116" i="85" s="1"/>
  <c r="U113" i="98" s="1"/>
  <c r="U96" i="85"/>
  <c r="U94" i="85"/>
  <c r="U58" i="85"/>
  <c r="U56" i="85"/>
  <c r="U76" i="85" s="1"/>
  <c r="U73" i="98" s="1"/>
  <c r="U54" i="85"/>
  <c r="U18" i="85"/>
  <c r="U16" i="85"/>
  <c r="U14" i="85"/>
  <c r="Z93" i="83"/>
  <c r="Z97" i="83"/>
  <c r="U97" i="83"/>
  <c r="U93" i="83"/>
  <c r="U95" i="83"/>
  <c r="U57" i="83"/>
  <c r="U55" i="83"/>
  <c r="U53" i="83"/>
  <c r="Z57" i="83"/>
  <c r="Z53" i="83"/>
  <c r="Z55" i="83"/>
  <c r="Z98" i="83"/>
  <c r="Z96" i="83"/>
  <c r="Z94" i="83"/>
  <c r="Z58" i="83"/>
  <c r="Z56" i="83"/>
  <c r="Z54" i="83"/>
  <c r="Z18" i="83"/>
  <c r="Z16" i="83"/>
  <c r="Z14" i="83"/>
  <c r="U98" i="83"/>
  <c r="U96" i="83"/>
  <c r="U94" i="83"/>
  <c r="U58" i="83"/>
  <c r="U56" i="83"/>
  <c r="U54" i="83"/>
  <c r="U18" i="83"/>
  <c r="U16" i="83"/>
  <c r="U14" i="83"/>
  <c r="Z95" i="81"/>
  <c r="Z94" i="81"/>
  <c r="Z97" i="81"/>
  <c r="Z93" i="81"/>
  <c r="Z96" i="81"/>
  <c r="Z54" i="81"/>
  <c r="Z56" i="81"/>
  <c r="Z52" i="81"/>
  <c r="U53" i="81"/>
  <c r="U56" i="81"/>
  <c r="U97" i="81"/>
  <c r="U95" i="81"/>
  <c r="U93" i="81"/>
  <c r="U17" i="81"/>
  <c r="U15" i="81"/>
  <c r="U13" i="81"/>
  <c r="Z57" i="81"/>
  <c r="Z55" i="81"/>
  <c r="U96" i="81"/>
  <c r="U94" i="81"/>
  <c r="U57" i="81"/>
  <c r="U16" i="81"/>
  <c r="U14" i="81"/>
  <c r="Y36" i="32"/>
  <c r="Z96" i="32"/>
  <c r="Z92" i="32"/>
  <c r="Z97" i="32"/>
  <c r="Z95" i="32"/>
  <c r="Z93" i="32"/>
  <c r="Z54" i="32"/>
  <c r="Z76" i="32" s="1"/>
  <c r="Z57" i="32"/>
  <c r="U97" i="32"/>
  <c r="U95" i="32"/>
  <c r="U93" i="32"/>
  <c r="U56" i="32"/>
  <c r="U54" i="32"/>
  <c r="U52" i="32"/>
  <c r="U17" i="32"/>
  <c r="U15" i="32"/>
  <c r="U13" i="32"/>
  <c r="U96" i="32"/>
  <c r="U94" i="32"/>
  <c r="U57" i="32"/>
  <c r="U55" i="32"/>
  <c r="U16" i="32"/>
  <c r="U14" i="32"/>
  <c r="Y36" i="24"/>
  <c r="Z15" i="22"/>
  <c r="Z16" i="22"/>
  <c r="Z17" i="22"/>
  <c r="U12" i="22"/>
  <c r="U13" i="22"/>
  <c r="U15" i="17"/>
  <c r="U16" i="17"/>
  <c r="U18" i="17"/>
  <c r="T15" i="98"/>
  <c r="Z116" i="28"/>
  <c r="Z104" i="98" s="1"/>
  <c r="Z76" i="28"/>
  <c r="Z64" i="98" s="1"/>
  <c r="Z76" i="24"/>
  <c r="Z63" i="98" s="1"/>
  <c r="Z97" i="22"/>
  <c r="Z96" i="22"/>
  <c r="Z14" i="22"/>
  <c r="Z13" i="22"/>
  <c r="Z57" i="22"/>
  <c r="Z56" i="22"/>
  <c r="Z55" i="22"/>
  <c r="Z95" i="22"/>
  <c r="Z92" i="22"/>
  <c r="Z52" i="22"/>
  <c r="Z12" i="22"/>
  <c r="U96" i="22"/>
  <c r="U94" i="22"/>
  <c r="U56" i="22"/>
  <c r="U54" i="22"/>
  <c r="U16" i="22"/>
  <c r="U14" i="22"/>
  <c r="U97" i="22"/>
  <c r="U95" i="22"/>
  <c r="U57" i="22"/>
  <c r="U55" i="22"/>
  <c r="U17" i="22"/>
  <c r="U15" i="22"/>
  <c r="U94" i="17"/>
  <c r="U98" i="17"/>
  <c r="U96" i="17"/>
  <c r="Z54" i="17"/>
  <c r="Z58" i="17"/>
  <c r="Z56" i="17"/>
  <c r="U59" i="17"/>
  <c r="U54" i="17"/>
  <c r="U56" i="17"/>
  <c r="U58" i="17"/>
  <c r="U55" i="17"/>
  <c r="Z99" i="17"/>
  <c r="Z97" i="17"/>
  <c r="Z95" i="17"/>
  <c r="Z19" i="17"/>
  <c r="Z17" i="17"/>
  <c r="Z15" i="17"/>
  <c r="U99" i="17"/>
  <c r="U97" i="17"/>
  <c r="U19" i="17"/>
  <c r="U17" i="17"/>
  <c r="Z98" i="17"/>
  <c r="Z96" i="17"/>
  <c r="Z59" i="17"/>
  <c r="Z57" i="17"/>
  <c r="Z18" i="17"/>
  <c r="Z16" i="17"/>
  <c r="U98" i="15"/>
  <c r="Z56" i="15"/>
  <c r="Z59" i="15"/>
  <c r="U59" i="15"/>
  <c r="U57" i="15"/>
  <c r="Z99" i="15"/>
  <c r="Z97" i="15"/>
  <c r="Z95" i="15"/>
  <c r="Z19" i="15"/>
  <c r="Z17" i="15"/>
  <c r="Z15" i="15"/>
  <c r="U99" i="15"/>
  <c r="U97" i="15"/>
  <c r="U58" i="15"/>
  <c r="U56" i="15"/>
  <c r="Z98" i="15"/>
  <c r="Z96" i="15"/>
  <c r="Z18" i="15"/>
  <c r="Z16" i="15"/>
  <c r="Z17" i="13"/>
  <c r="Z15" i="13"/>
  <c r="U15" i="13"/>
  <c r="Z13" i="13"/>
  <c r="U17" i="13"/>
  <c r="U13" i="13"/>
  <c r="Z93" i="13"/>
  <c r="Z97" i="13"/>
  <c r="Z95" i="13"/>
  <c r="U97" i="13"/>
  <c r="U93" i="13"/>
  <c r="Z55" i="13"/>
  <c r="Z53" i="13"/>
  <c r="Z57" i="13"/>
  <c r="U57" i="13"/>
  <c r="U53" i="13"/>
  <c r="U55" i="13"/>
  <c r="Z98" i="13"/>
  <c r="Z96" i="13"/>
  <c r="Z94" i="13"/>
  <c r="Z58" i="13"/>
  <c r="Z56" i="13"/>
  <c r="Z54" i="13"/>
  <c r="Z18" i="13"/>
  <c r="Z16" i="13"/>
  <c r="Z14" i="13"/>
  <c r="U98" i="13"/>
  <c r="U96" i="13"/>
  <c r="U94" i="13"/>
  <c r="U58" i="13"/>
  <c r="U56" i="13"/>
  <c r="U54" i="13"/>
  <c r="U18" i="13"/>
  <c r="U16" i="13"/>
  <c r="U14" i="13"/>
  <c r="Z93" i="64"/>
  <c r="U93" i="64"/>
  <c r="Z53" i="64"/>
  <c r="U53" i="64"/>
  <c r="Z13" i="64"/>
  <c r="Z94" i="64"/>
  <c r="Z116" i="64" s="1"/>
  <c r="Z54" i="64"/>
  <c r="Z76" i="64" s="1"/>
  <c r="Z14" i="64"/>
  <c r="Z36" i="64" s="1"/>
  <c r="U94" i="64"/>
  <c r="U54" i="64"/>
  <c r="U76" i="64" s="1"/>
  <c r="U58" i="98" s="1"/>
  <c r="U14" i="64"/>
  <c r="U36" i="64" s="1"/>
  <c r="U13" i="98" s="1"/>
  <c r="Z12" i="10"/>
  <c r="Z17" i="10"/>
  <c r="Z22" i="10"/>
  <c r="U100" i="10"/>
  <c r="U92" i="10"/>
  <c r="U95" i="10"/>
  <c r="U102" i="10"/>
  <c r="U93" i="10"/>
  <c r="U104" i="10"/>
  <c r="U98" i="10"/>
  <c r="Z59" i="10"/>
  <c r="U25" i="10"/>
  <c r="U23" i="10"/>
  <c r="U19" i="10"/>
  <c r="U16" i="10"/>
  <c r="U12" i="10"/>
  <c r="U18" i="10"/>
  <c r="U15" i="10"/>
  <c r="U24" i="10"/>
  <c r="U22" i="10"/>
  <c r="U14" i="10"/>
  <c r="U20" i="10"/>
  <c r="U17" i="10"/>
  <c r="Z19" i="10"/>
  <c r="Z13" i="10"/>
  <c r="Z15" i="10"/>
  <c r="Z95" i="10"/>
  <c r="Z97" i="10"/>
  <c r="Z99" i="10"/>
  <c r="Z102" i="10"/>
  <c r="Z93" i="10"/>
  <c r="U105" i="10"/>
  <c r="U103" i="10"/>
  <c r="U97" i="10"/>
  <c r="U94" i="10"/>
  <c r="U99" i="10"/>
  <c r="Z57" i="10"/>
  <c r="Z55" i="10"/>
  <c r="Z62" i="10"/>
  <c r="Z53" i="10"/>
  <c r="U56" i="10"/>
  <c r="U60" i="10"/>
  <c r="U59" i="10"/>
  <c r="U55" i="10"/>
  <c r="U64" i="10"/>
  <c r="U62" i="10"/>
  <c r="U58" i="10"/>
  <c r="U53" i="10"/>
  <c r="U65" i="10"/>
  <c r="U63" i="10"/>
  <c r="U57" i="10"/>
  <c r="U54" i="10"/>
  <c r="Z105" i="10"/>
  <c r="Z100" i="10"/>
  <c r="Z98" i="10"/>
  <c r="Z96" i="10"/>
  <c r="Z94" i="10"/>
  <c r="Z65" i="10"/>
  <c r="Z60" i="10"/>
  <c r="Z58" i="10"/>
  <c r="Z56" i="10"/>
  <c r="Z54" i="10"/>
  <c r="Z25" i="10"/>
  <c r="Z20" i="10"/>
  <c r="Z18" i="10"/>
  <c r="Z16" i="10"/>
  <c r="Z14" i="10"/>
  <c r="A37" i="97"/>
  <c r="A120" i="100" s="1"/>
  <c r="U76" i="45" l="1"/>
  <c r="U75" i="98" s="1"/>
  <c r="U116" i="47"/>
  <c r="U116" i="98" s="1"/>
  <c r="U36" i="5"/>
  <c r="U41" i="98" s="1"/>
  <c r="U76" i="7"/>
  <c r="U82" i="98" s="1"/>
  <c r="U116" i="7"/>
  <c r="U122" i="98" s="1"/>
  <c r="U76" i="41"/>
  <c r="U78" i="98" s="1"/>
  <c r="U36" i="8"/>
  <c r="U45" i="98" s="1"/>
  <c r="U36" i="41"/>
  <c r="U76" i="69"/>
  <c r="U72" i="98" s="1"/>
  <c r="U116" i="41"/>
  <c r="U118" i="98" s="1"/>
  <c r="U76" i="68"/>
  <c r="U85" i="98" s="1"/>
  <c r="U36" i="69"/>
  <c r="U26" i="98" s="1"/>
  <c r="U36" i="83"/>
  <c r="U25" i="98" s="1"/>
  <c r="U76" i="5"/>
  <c r="U80" i="98" s="1"/>
  <c r="U116" i="5"/>
  <c r="U120" i="98" s="1"/>
  <c r="U116" i="9"/>
  <c r="U123" i="98" s="1"/>
  <c r="U116" i="8"/>
  <c r="U124" i="98" s="1"/>
  <c r="U116" i="69"/>
  <c r="U112" i="98" s="1"/>
  <c r="U76" i="17"/>
  <c r="U36" i="73"/>
  <c r="U116" i="73"/>
  <c r="U76" i="73"/>
  <c r="U116" i="17"/>
  <c r="Z76" i="15"/>
  <c r="Z60" i="98" s="1"/>
  <c r="Z116" i="17"/>
  <c r="Z116" i="15"/>
  <c r="Z100" i="98" s="1"/>
  <c r="U116" i="15"/>
  <c r="U100" i="98" s="1"/>
  <c r="Z76" i="17"/>
  <c r="Z61" i="98" s="1"/>
  <c r="U76" i="15"/>
  <c r="U60" i="98" s="1"/>
  <c r="U36" i="17"/>
  <c r="Z36" i="17"/>
  <c r="Z36" i="15"/>
  <c r="Z15" i="98" s="1"/>
  <c r="U101" i="98"/>
  <c r="U17" i="15"/>
  <c r="U19" i="15"/>
  <c r="Z116" i="38"/>
  <c r="Z114" i="98" s="1"/>
  <c r="Z76" i="38"/>
  <c r="Z74" i="98" s="1"/>
  <c r="Z36" i="38"/>
  <c r="Z30" i="98" s="1"/>
  <c r="U116" i="81"/>
  <c r="U110" i="98" s="1"/>
  <c r="U76" i="81"/>
  <c r="U70" i="98" s="1"/>
  <c r="U116" i="10"/>
  <c r="U97" i="98" s="1"/>
  <c r="U116" i="64"/>
  <c r="U98" i="98" s="1"/>
  <c r="A120" i="47"/>
  <c r="A120" i="99"/>
  <c r="U76" i="9"/>
  <c r="U83" i="98" s="1"/>
  <c r="U116" i="6"/>
  <c r="U121" i="98" s="1"/>
  <c r="U76" i="6"/>
  <c r="U81" i="98" s="1"/>
  <c r="Z76" i="5"/>
  <c r="Z116" i="6"/>
  <c r="Z116" i="5"/>
  <c r="Z116" i="7"/>
  <c r="Z116" i="9"/>
  <c r="Z76" i="7"/>
  <c r="Z76" i="9"/>
  <c r="Z76" i="6"/>
  <c r="U36" i="68"/>
  <c r="U28" i="98" s="1"/>
  <c r="U36" i="85"/>
  <c r="U36" i="47"/>
  <c r="U32" i="98" s="1"/>
  <c r="U36" i="45"/>
  <c r="U31" i="98" s="1"/>
  <c r="Z36" i="85"/>
  <c r="Z36" i="83"/>
  <c r="U36" i="81"/>
  <c r="U24" i="98" s="1"/>
  <c r="U116" i="68"/>
  <c r="U125" i="98" s="1"/>
  <c r="Z36" i="68"/>
  <c r="Z76" i="68"/>
  <c r="Z116" i="68"/>
  <c r="Z36" i="9"/>
  <c r="U36" i="9"/>
  <c r="U44" i="98" s="1"/>
  <c r="Z36" i="7"/>
  <c r="U36" i="7"/>
  <c r="U43" i="98" s="1"/>
  <c r="U36" i="6"/>
  <c r="U42" i="98" s="1"/>
  <c r="Z76" i="41"/>
  <c r="U116" i="49"/>
  <c r="U117" i="98" s="1"/>
  <c r="Z76" i="49"/>
  <c r="U76" i="49"/>
  <c r="U77" i="98" s="1"/>
  <c r="Z116" i="47"/>
  <c r="Z76" i="47"/>
  <c r="U76" i="47"/>
  <c r="U76" i="98" s="1"/>
  <c r="Z116" i="45"/>
  <c r="U116" i="45"/>
  <c r="U115" i="98" s="1"/>
  <c r="U76" i="38"/>
  <c r="U74" i="98" s="1"/>
  <c r="Z76" i="85"/>
  <c r="Z116" i="83"/>
  <c r="U116" i="83"/>
  <c r="U111" i="98" s="1"/>
  <c r="U76" i="83"/>
  <c r="U71" i="98" s="1"/>
  <c r="Z76" i="83"/>
  <c r="Z116" i="81"/>
  <c r="Z110" i="98" s="1"/>
  <c r="Z76" i="81"/>
  <c r="Z70" i="98" s="1"/>
  <c r="Z13" i="32"/>
  <c r="Z17" i="32"/>
  <c r="Z12" i="32"/>
  <c r="Z16" i="32"/>
  <c r="Z15" i="32"/>
  <c r="Z14" i="32"/>
  <c r="U36" i="32"/>
  <c r="U22" i="98" s="1"/>
  <c r="Z116" i="32"/>
  <c r="U116" i="32"/>
  <c r="U108" i="98" s="1"/>
  <c r="U76" i="32"/>
  <c r="U68" i="98" s="1"/>
  <c r="Z36" i="24"/>
  <c r="Z18" i="98" s="1"/>
  <c r="Z36" i="28"/>
  <c r="Z19" i="98" s="1"/>
  <c r="U36" i="24"/>
  <c r="U15" i="15"/>
  <c r="U16" i="15"/>
  <c r="U18" i="15"/>
  <c r="U36" i="22"/>
  <c r="U17" i="98" s="1"/>
  <c r="U36" i="28"/>
  <c r="U19" i="98" s="1"/>
  <c r="U116" i="28"/>
  <c r="U104" i="98" s="1"/>
  <c r="Z116" i="24"/>
  <c r="Z103" i="98" s="1"/>
  <c r="U116" i="24"/>
  <c r="U103" i="98" s="1"/>
  <c r="U76" i="24"/>
  <c r="U63" i="98" s="1"/>
  <c r="U76" i="28"/>
  <c r="U64" i="98" s="1"/>
  <c r="U116" i="22"/>
  <c r="U102" i="98" s="1"/>
  <c r="U76" i="22"/>
  <c r="U62" i="98" s="1"/>
  <c r="Z116" i="22"/>
  <c r="Z102" i="98" s="1"/>
  <c r="Z76" i="22"/>
  <c r="Z62" i="98" s="1"/>
  <c r="Z36" i="22"/>
  <c r="Z101" i="98"/>
  <c r="U61" i="98"/>
  <c r="Z36" i="13"/>
  <c r="U36" i="13"/>
  <c r="Z116" i="13"/>
  <c r="U116" i="13"/>
  <c r="U99" i="98" s="1"/>
  <c r="Z76" i="13"/>
  <c r="U76" i="13"/>
  <c r="U59" i="98" s="1"/>
  <c r="Z36" i="10"/>
  <c r="Z12" i="98" s="1"/>
  <c r="Z116" i="10"/>
  <c r="Z97" i="98" s="1"/>
  <c r="U36" i="10"/>
  <c r="U12" i="98" s="1"/>
  <c r="Z76" i="10"/>
  <c r="Z57" i="98" s="1"/>
  <c r="U76" i="10"/>
  <c r="U57" i="98" s="1"/>
  <c r="A120" i="41"/>
  <c r="A120" i="73"/>
  <c r="A120" i="8"/>
  <c r="A120" i="69"/>
  <c r="A120" i="17"/>
  <c r="A120" i="24"/>
  <c r="A120" i="45"/>
  <c r="A120" i="85"/>
  <c r="A120" i="68"/>
  <c r="A120" i="7"/>
  <c r="A120" i="32"/>
  <c r="A120" i="15"/>
  <c r="A120" i="13"/>
  <c r="A120" i="38"/>
  <c r="A120" i="83"/>
  <c r="A120" i="6"/>
  <c r="A120" i="28"/>
  <c r="A120" i="64"/>
  <c r="A120" i="49"/>
  <c r="A120" i="81"/>
  <c r="A120" i="9"/>
  <c r="A120" i="5"/>
  <c r="A120" i="22"/>
  <c r="A120" i="10"/>
  <c r="A158" i="97"/>
  <c r="U40" i="98" l="1"/>
  <c r="U34" i="98"/>
  <c r="U39" i="98"/>
  <c r="U27" i="98"/>
  <c r="U66" i="98"/>
  <c r="U65" i="98"/>
  <c r="U67" i="98"/>
  <c r="U18" i="98"/>
  <c r="U38" i="98"/>
  <c r="U105" i="98"/>
  <c r="U107" i="98"/>
  <c r="U106" i="98"/>
  <c r="U21" i="98"/>
  <c r="U20" i="98"/>
  <c r="U14" i="98"/>
  <c r="U35" i="98"/>
  <c r="U36" i="15"/>
  <c r="U15" i="98" s="1"/>
  <c r="U37" i="98"/>
  <c r="U16" i="98"/>
  <c r="Z37" i="98"/>
  <c r="Z16" i="98"/>
  <c r="Z36" i="32"/>
  <c r="A14" i="97"/>
  <c r="A13" i="97"/>
  <c r="A4" i="96" l="1"/>
  <c r="A3" i="96"/>
  <c r="A114" i="68"/>
  <c r="A113" i="68"/>
  <c r="A112" i="68"/>
  <c r="A111" i="68"/>
  <c r="A110" i="68"/>
  <c r="A109" i="68"/>
  <c r="A114" i="13"/>
  <c r="A113" i="13"/>
  <c r="A112" i="13"/>
  <c r="A111" i="13"/>
  <c r="A110" i="13"/>
  <c r="A109" i="13"/>
  <c r="A108" i="13"/>
  <c r="A107" i="13"/>
  <c r="A106" i="13"/>
  <c r="A105" i="13"/>
  <c r="A104" i="13"/>
  <c r="A103" i="13"/>
  <c r="A102" i="13"/>
  <c r="A101" i="13"/>
  <c r="A100" i="13"/>
  <c r="A99" i="13"/>
  <c r="A114" i="24"/>
  <c r="A113" i="24"/>
  <c r="A112" i="24"/>
  <c r="A111" i="24"/>
  <c r="A110" i="24"/>
  <c r="A109" i="24"/>
  <c r="A108" i="24"/>
  <c r="A107" i="24"/>
  <c r="A106" i="24"/>
  <c r="A105" i="24"/>
  <c r="A104" i="24"/>
  <c r="A103" i="24"/>
  <c r="A102" i="24"/>
  <c r="A101" i="24"/>
  <c r="A100" i="24"/>
  <c r="A99" i="24"/>
  <c r="A114" i="10"/>
  <c r="A113" i="10"/>
  <c r="A112" i="10"/>
  <c r="A111" i="10"/>
  <c r="A110" i="10"/>
  <c r="A109" i="10"/>
  <c r="A108" i="10"/>
  <c r="A107" i="10"/>
  <c r="A106" i="10"/>
  <c r="A101" i="10"/>
  <c r="A114" i="64"/>
  <c r="A113" i="64"/>
  <c r="A112" i="64"/>
  <c r="A111" i="64"/>
  <c r="A110" i="64"/>
  <c r="A109" i="64"/>
  <c r="A108" i="64"/>
  <c r="A107" i="64"/>
  <c r="A106" i="64"/>
  <c r="A105" i="64"/>
  <c r="A104" i="64"/>
  <c r="A103" i="64"/>
  <c r="A102" i="64"/>
  <c r="A101" i="64"/>
  <c r="A100" i="64"/>
  <c r="A99" i="64"/>
  <c r="A98" i="64"/>
  <c r="A97" i="64"/>
  <c r="A96" i="64"/>
  <c r="A95" i="64"/>
  <c r="A114" i="15"/>
  <c r="A113" i="15"/>
  <c r="A112" i="15"/>
  <c r="A111" i="15"/>
  <c r="A110" i="15"/>
  <c r="A109" i="15"/>
  <c r="A108" i="15"/>
  <c r="A107" i="15"/>
  <c r="A106" i="15"/>
  <c r="A105" i="15"/>
  <c r="A104" i="15"/>
  <c r="A103" i="15"/>
  <c r="A102" i="15"/>
  <c r="A101" i="15"/>
  <c r="A100" i="15"/>
  <c r="A93" i="15"/>
  <c r="A114" i="17"/>
  <c r="A113" i="17"/>
  <c r="A112" i="17"/>
  <c r="A111" i="17"/>
  <c r="A110" i="17"/>
  <c r="A109" i="17"/>
  <c r="A108" i="17"/>
  <c r="A107" i="17"/>
  <c r="A106" i="17"/>
  <c r="A105" i="17"/>
  <c r="A104" i="17"/>
  <c r="A103" i="17"/>
  <c r="A102" i="17"/>
  <c r="A101" i="17"/>
  <c r="A100" i="17"/>
  <c r="A93" i="17"/>
  <c r="A114" i="22"/>
  <c r="A113" i="22"/>
  <c r="A112" i="22"/>
  <c r="A111" i="22"/>
  <c r="A110" i="22"/>
  <c r="A109" i="22"/>
  <c r="A108" i="22"/>
  <c r="A107" i="22"/>
  <c r="A106" i="22"/>
  <c r="A105" i="22"/>
  <c r="A104" i="22"/>
  <c r="A103" i="22"/>
  <c r="A102" i="22"/>
  <c r="A101" i="22"/>
  <c r="A100" i="22"/>
  <c r="A99" i="22"/>
  <c r="A98" i="22"/>
  <c r="A93" i="22"/>
  <c r="A114" i="28"/>
  <c r="A113" i="28"/>
  <c r="A112" i="28"/>
  <c r="A111" i="28"/>
  <c r="A110" i="28"/>
  <c r="A109" i="28"/>
  <c r="A108" i="28"/>
  <c r="A107" i="28"/>
  <c r="A106" i="28"/>
  <c r="A105" i="28"/>
  <c r="A104" i="28"/>
  <c r="A103" i="28"/>
  <c r="A102" i="28"/>
  <c r="A101" i="28"/>
  <c r="A100" i="28"/>
  <c r="A99" i="28"/>
  <c r="A98" i="28"/>
  <c r="A114" i="32"/>
  <c r="A113" i="32"/>
  <c r="A112" i="32"/>
  <c r="A111" i="32"/>
  <c r="A110" i="32"/>
  <c r="A109" i="32"/>
  <c r="A108" i="32"/>
  <c r="A107" i="32"/>
  <c r="A106" i="32"/>
  <c r="A105" i="32"/>
  <c r="A104" i="32"/>
  <c r="A103" i="32"/>
  <c r="A102" i="32"/>
  <c r="A101" i="32"/>
  <c r="A100" i="32"/>
  <c r="A99" i="32"/>
  <c r="A98" i="32"/>
  <c r="A114" i="69"/>
  <c r="A113" i="69"/>
  <c r="A112" i="69"/>
  <c r="A111" i="69"/>
  <c r="A110" i="69"/>
  <c r="A109" i="69"/>
  <c r="A108" i="69"/>
  <c r="A107" i="69"/>
  <c r="A106" i="69"/>
  <c r="A105" i="69"/>
  <c r="A104" i="69"/>
  <c r="A103" i="69"/>
  <c r="A102" i="69"/>
  <c r="A101" i="69"/>
  <c r="A100" i="69"/>
  <c r="A99" i="69"/>
  <c r="A114" i="5"/>
  <c r="A113" i="5"/>
  <c r="A112" i="5"/>
  <c r="A111" i="5"/>
  <c r="A110" i="5"/>
  <c r="A109" i="5"/>
  <c r="A108" i="5"/>
  <c r="A107" i="5"/>
  <c r="A106" i="5"/>
  <c r="A105" i="5"/>
  <c r="A104" i="5"/>
  <c r="A103" i="5"/>
  <c r="A102" i="5"/>
  <c r="A101" i="5"/>
  <c r="A100" i="5"/>
  <c r="A99" i="5"/>
  <c r="A98" i="5"/>
  <c r="A97" i="5"/>
  <c r="A96" i="5"/>
  <c r="A95" i="5"/>
  <c r="A114" i="6"/>
  <c r="A113" i="6"/>
  <c r="A112" i="6"/>
  <c r="A111" i="6"/>
  <c r="A110" i="6"/>
  <c r="A109" i="6"/>
  <c r="A108" i="6"/>
  <c r="A107" i="6"/>
  <c r="A106" i="6"/>
  <c r="A105" i="6"/>
  <c r="A104" i="6"/>
  <c r="A103" i="6"/>
  <c r="A102" i="6"/>
  <c r="A101" i="6"/>
  <c r="A100" i="6"/>
  <c r="A99" i="6"/>
  <c r="A98" i="6"/>
  <c r="A114" i="7"/>
  <c r="A113" i="7"/>
  <c r="A112" i="7"/>
  <c r="A111" i="7"/>
  <c r="A110" i="7"/>
  <c r="A109" i="7"/>
  <c r="A108" i="7"/>
  <c r="A107" i="7"/>
  <c r="A106" i="7"/>
  <c r="A105" i="7"/>
  <c r="A104" i="7"/>
  <c r="A103" i="7"/>
  <c r="A102" i="7"/>
  <c r="A101" i="7"/>
  <c r="A100" i="7"/>
  <c r="A99" i="7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74" i="68"/>
  <c r="A73" i="68"/>
  <c r="A72" i="68"/>
  <c r="A71" i="68"/>
  <c r="A70" i="68"/>
  <c r="A69" i="68"/>
  <c r="A74" i="13"/>
  <c r="A73" i="13"/>
  <c r="A72" i="13"/>
  <c r="A71" i="13"/>
  <c r="A70" i="13"/>
  <c r="A69" i="13"/>
  <c r="A68" i="13"/>
  <c r="A67" i="13"/>
  <c r="A66" i="13"/>
  <c r="A65" i="13"/>
  <c r="A64" i="13"/>
  <c r="A63" i="13"/>
  <c r="A62" i="13"/>
  <c r="A61" i="13"/>
  <c r="A60" i="13"/>
  <c r="A59" i="13"/>
  <c r="A74" i="24"/>
  <c r="A73" i="24"/>
  <c r="A72" i="24"/>
  <c r="A71" i="24"/>
  <c r="A70" i="24"/>
  <c r="A69" i="24"/>
  <c r="A68" i="24"/>
  <c r="A67" i="24"/>
  <c r="A66" i="24"/>
  <c r="A65" i="24"/>
  <c r="A64" i="24"/>
  <c r="A63" i="24"/>
  <c r="A62" i="24"/>
  <c r="A61" i="24"/>
  <c r="A60" i="24"/>
  <c r="A59" i="24"/>
  <c r="A74" i="10"/>
  <c r="A73" i="10"/>
  <c r="A72" i="10"/>
  <c r="A71" i="10"/>
  <c r="A70" i="10"/>
  <c r="A69" i="10"/>
  <c r="A68" i="10"/>
  <c r="A67" i="10"/>
  <c r="A66" i="10"/>
  <c r="A61" i="10"/>
  <c r="A74" i="64"/>
  <c r="A73" i="64"/>
  <c r="A72" i="64"/>
  <c r="A71" i="64"/>
  <c r="A70" i="64"/>
  <c r="A69" i="64"/>
  <c r="A68" i="64"/>
  <c r="A67" i="64"/>
  <c r="A66" i="64"/>
  <c r="A65" i="64"/>
  <c r="A64" i="64"/>
  <c r="A63" i="64"/>
  <c r="A62" i="64"/>
  <c r="A61" i="64"/>
  <c r="A60" i="64"/>
  <c r="A59" i="64"/>
  <c r="A58" i="64"/>
  <c r="A57" i="64"/>
  <c r="A56" i="64"/>
  <c r="A55" i="64"/>
  <c r="A74" i="15"/>
  <c r="A73" i="15"/>
  <c r="A72" i="15"/>
  <c r="A71" i="15"/>
  <c r="A70" i="15"/>
  <c r="A69" i="15"/>
  <c r="A68" i="15"/>
  <c r="A67" i="15"/>
  <c r="A66" i="15"/>
  <c r="A65" i="15"/>
  <c r="A64" i="15"/>
  <c r="A63" i="15"/>
  <c r="A62" i="15"/>
  <c r="A61" i="15"/>
  <c r="A60" i="15"/>
  <c r="A53" i="15"/>
  <c r="A74" i="17"/>
  <c r="A73" i="17"/>
  <c r="A72" i="17"/>
  <c r="A71" i="17"/>
  <c r="A70" i="17"/>
  <c r="A69" i="17"/>
  <c r="A68" i="17"/>
  <c r="A67" i="17"/>
  <c r="A66" i="17"/>
  <c r="A65" i="17"/>
  <c r="A64" i="17"/>
  <c r="A63" i="17"/>
  <c r="A62" i="17"/>
  <c r="A61" i="17"/>
  <c r="A60" i="17"/>
  <c r="A53" i="17"/>
  <c r="A74" i="22"/>
  <c r="A73" i="22"/>
  <c r="A72" i="22"/>
  <c r="A71" i="22"/>
  <c r="A70" i="22"/>
  <c r="A69" i="22"/>
  <c r="A68" i="22"/>
  <c r="A67" i="22"/>
  <c r="A66" i="22"/>
  <c r="A65" i="22"/>
  <c r="A64" i="22"/>
  <c r="A63" i="22"/>
  <c r="A62" i="22"/>
  <c r="A61" i="22"/>
  <c r="A60" i="22"/>
  <c r="A59" i="22"/>
  <c r="A58" i="22"/>
  <c r="A53" i="22"/>
  <c r="A74" i="28"/>
  <c r="A73" i="28"/>
  <c r="A72" i="28"/>
  <c r="A71" i="28"/>
  <c r="A70" i="28"/>
  <c r="A69" i="28"/>
  <c r="A68" i="28"/>
  <c r="A67" i="28"/>
  <c r="A66" i="28"/>
  <c r="A65" i="28"/>
  <c r="A64" i="28"/>
  <c r="A63" i="28"/>
  <c r="A62" i="28"/>
  <c r="A61" i="28"/>
  <c r="A60" i="28"/>
  <c r="A59" i="28"/>
  <c r="A58" i="28"/>
  <c r="A74" i="32"/>
  <c r="A73" i="32"/>
  <c r="A72" i="32"/>
  <c r="A71" i="32"/>
  <c r="A70" i="32"/>
  <c r="A69" i="32"/>
  <c r="A68" i="32"/>
  <c r="A67" i="32"/>
  <c r="A66" i="32"/>
  <c r="A65" i="32"/>
  <c r="A64" i="32"/>
  <c r="A63" i="32"/>
  <c r="A62" i="32"/>
  <c r="A61" i="32"/>
  <c r="A60" i="32"/>
  <c r="A59" i="32"/>
  <c r="A58" i="32"/>
  <c r="A74" i="69"/>
  <c r="A73" i="69"/>
  <c r="A72" i="69"/>
  <c r="A71" i="69"/>
  <c r="A70" i="69"/>
  <c r="A69" i="69"/>
  <c r="A68" i="69"/>
  <c r="A67" i="69"/>
  <c r="A66" i="69"/>
  <c r="A65" i="69"/>
  <c r="A64" i="69"/>
  <c r="A63" i="69"/>
  <c r="A62" i="69"/>
  <c r="A61" i="69"/>
  <c r="A60" i="69"/>
  <c r="A59" i="69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74" i="6"/>
  <c r="A73" i="6"/>
  <c r="A72" i="6"/>
  <c r="A71" i="6"/>
  <c r="A70" i="6"/>
  <c r="A69" i="6"/>
  <c r="A68" i="6"/>
  <c r="A67" i="6"/>
  <c r="A66" i="6"/>
  <c r="A65" i="6"/>
  <c r="A64" i="6"/>
  <c r="A63" i="6"/>
  <c r="A62" i="6"/>
  <c r="A61" i="6"/>
  <c r="A60" i="6"/>
  <c r="A59" i="6"/>
  <c r="A58" i="6"/>
  <c r="A74" i="7"/>
  <c r="A73" i="7"/>
  <c r="A72" i="7"/>
  <c r="A71" i="7"/>
  <c r="A70" i="7"/>
  <c r="A69" i="7"/>
  <c r="A68" i="7"/>
  <c r="A67" i="7"/>
  <c r="A66" i="7"/>
  <c r="A65" i="7"/>
  <c r="A64" i="7"/>
  <c r="A63" i="7"/>
  <c r="A62" i="7"/>
  <c r="A61" i="7"/>
  <c r="A60" i="7"/>
  <c r="A59" i="7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114" i="36"/>
  <c r="A113" i="36"/>
  <c r="A112" i="36"/>
  <c r="A111" i="36"/>
  <c r="A110" i="36"/>
  <c r="A109" i="36"/>
  <c r="A108" i="36"/>
  <c r="A107" i="36"/>
  <c r="A106" i="36"/>
  <c r="A105" i="36"/>
  <c r="A104" i="36"/>
  <c r="A103" i="36"/>
  <c r="A102" i="36"/>
  <c r="A101" i="36"/>
  <c r="A100" i="36"/>
  <c r="A99" i="36"/>
  <c r="A98" i="36"/>
  <c r="A97" i="36"/>
  <c r="A74" i="36"/>
  <c r="A73" i="36"/>
  <c r="A72" i="36"/>
  <c r="A71" i="36"/>
  <c r="A70" i="36"/>
  <c r="A69" i="36"/>
  <c r="A68" i="36"/>
  <c r="A67" i="36"/>
  <c r="A66" i="36"/>
  <c r="A65" i="36"/>
  <c r="A64" i="36"/>
  <c r="A63" i="36"/>
  <c r="A62" i="36"/>
  <c r="A61" i="36"/>
  <c r="A60" i="36"/>
  <c r="A59" i="36"/>
  <c r="A58" i="36"/>
  <c r="A57" i="36"/>
  <c r="A401" i="97" l="1"/>
  <c r="A13" i="6" s="1"/>
  <c r="A376" i="97"/>
  <c r="A375" i="97"/>
  <c r="A374" i="97"/>
  <c r="A373" i="97"/>
  <c r="A372" i="97"/>
  <c r="A371" i="97"/>
  <c r="A370" i="97"/>
  <c r="A369" i="97"/>
  <c r="A368" i="97"/>
  <c r="A367" i="97"/>
  <c r="A366" i="97"/>
  <c r="A365" i="97"/>
  <c r="A364" i="97"/>
  <c r="A363" i="97"/>
  <c r="A362" i="97"/>
  <c r="A361" i="97"/>
  <c r="A360" i="97"/>
  <c r="A359" i="97"/>
  <c r="A358" i="97"/>
  <c r="A357" i="97"/>
  <c r="A356" i="97"/>
  <c r="A355" i="97"/>
  <c r="A354" i="97"/>
  <c r="A12" i="85" s="1"/>
  <c r="A338" i="97"/>
  <c r="A337" i="97"/>
  <c r="A336" i="97"/>
  <c r="A335" i="97"/>
  <c r="A334" i="97"/>
  <c r="A333" i="97"/>
  <c r="A332" i="97"/>
  <c r="A331" i="97"/>
  <c r="A330" i="97"/>
  <c r="A329" i="97"/>
  <c r="A328" i="97"/>
  <c r="A327" i="97"/>
  <c r="A326" i="97"/>
  <c r="A325" i="97"/>
  <c r="A324" i="97"/>
  <c r="A323" i="97"/>
  <c r="A322" i="97"/>
  <c r="A321" i="97"/>
  <c r="A320" i="97"/>
  <c r="A319" i="97"/>
  <c r="A318" i="97"/>
  <c r="A317" i="97"/>
  <c r="A316" i="97"/>
  <c r="A12" i="83" s="1"/>
  <c r="A290" i="97"/>
  <c r="A289" i="97"/>
  <c r="A288" i="97"/>
  <c r="A287" i="97"/>
  <c r="A286" i="97"/>
  <c r="A285" i="97"/>
  <c r="A284" i="97"/>
  <c r="A283" i="97"/>
  <c r="A282" i="97"/>
  <c r="A281" i="97"/>
  <c r="A280" i="97"/>
  <c r="A279" i="97"/>
  <c r="A278" i="97"/>
  <c r="A277" i="97"/>
  <c r="A276" i="97"/>
  <c r="A275" i="97"/>
  <c r="A274" i="97"/>
  <c r="A273" i="97"/>
  <c r="A272" i="97"/>
  <c r="A271" i="97"/>
  <c r="A270" i="97"/>
  <c r="A269" i="97"/>
  <c r="A268" i="97"/>
  <c r="A12" i="81" s="1"/>
  <c r="A245" i="97"/>
  <c r="A244" i="97"/>
  <c r="A243" i="97"/>
  <c r="A242" i="97"/>
  <c r="A241" i="97"/>
  <c r="A240" i="97"/>
  <c r="A239" i="97"/>
  <c r="A238" i="97"/>
  <c r="A237" i="97"/>
  <c r="A236" i="97"/>
  <c r="A235" i="97"/>
  <c r="A234" i="97"/>
  <c r="A233" i="97"/>
  <c r="A232" i="97"/>
  <c r="A231" i="97"/>
  <c r="A230" i="97"/>
  <c r="A229" i="97"/>
  <c r="A228" i="97"/>
  <c r="A227" i="97"/>
  <c r="A226" i="97"/>
  <c r="A225" i="97"/>
  <c r="A224" i="97"/>
  <c r="A223" i="97"/>
  <c r="A246" i="97"/>
  <c r="A12" i="73" s="1"/>
  <c r="A247" i="97"/>
  <c r="A13" i="73" s="1"/>
  <c r="A248" i="97"/>
  <c r="A14" i="73" s="1"/>
  <c r="A249" i="97"/>
  <c r="A15" i="73" s="1"/>
  <c r="A250" i="97"/>
  <c r="A16" i="73" s="1"/>
  <c r="A251" i="97"/>
  <c r="A17" i="73" s="1"/>
  <c r="A252" i="97"/>
  <c r="A18" i="73" s="1"/>
  <c r="A253" i="97"/>
  <c r="A254" i="97"/>
  <c r="A255" i="97"/>
  <c r="A256" i="97"/>
  <c r="A257" i="97"/>
  <c r="A258" i="97"/>
  <c r="A259" i="97"/>
  <c r="A260" i="97"/>
  <c r="A261" i="97"/>
  <c r="A262" i="97"/>
  <c r="A263" i="97"/>
  <c r="A264" i="97"/>
  <c r="A265" i="97"/>
  <c r="A266" i="97"/>
  <c r="A267" i="97"/>
  <c r="A291" i="97"/>
  <c r="A13" i="81" s="1"/>
  <c r="A177" i="97"/>
  <c r="A25" i="10" s="1"/>
  <c r="A176" i="97"/>
  <c r="A24" i="10" s="1"/>
  <c r="A175" i="97"/>
  <c r="A23" i="10" s="1"/>
  <c r="A174" i="97"/>
  <c r="A22" i="10" s="1"/>
  <c r="A173" i="97"/>
  <c r="A20" i="10" s="1"/>
  <c r="A172" i="97"/>
  <c r="A19" i="10" s="1"/>
  <c r="A171" i="97"/>
  <c r="A18" i="10" s="1"/>
  <c r="A170" i="97"/>
  <c r="A17" i="10" s="1"/>
  <c r="A168" i="97"/>
  <c r="A15" i="10" s="1"/>
  <c r="A167" i="97"/>
  <c r="A14" i="10" s="1"/>
  <c r="A166" i="97"/>
  <c r="A13" i="10" s="1"/>
  <c r="A165" i="97"/>
  <c r="A12" i="10" s="1"/>
  <c r="A123" i="97"/>
  <c r="A122" i="97"/>
  <c r="A121" i="97"/>
  <c r="A120" i="97"/>
  <c r="A119" i="97"/>
  <c r="A118" i="97"/>
  <c r="A117" i="97"/>
  <c r="A116" i="97"/>
  <c r="A115" i="97"/>
  <c r="A114" i="97"/>
  <c r="A113" i="97"/>
  <c r="A112" i="97"/>
  <c r="A111" i="97"/>
  <c r="A110" i="97"/>
  <c r="A109" i="97"/>
  <c r="A108" i="97"/>
  <c r="A107" i="97"/>
  <c r="A12" i="68" s="1"/>
  <c r="A157" i="97"/>
  <c r="A156" i="97"/>
  <c r="A155" i="97"/>
  <c r="A154" i="97"/>
  <c r="A153" i="97"/>
  <c r="A152" i="97"/>
  <c r="A151" i="97"/>
  <c r="A150" i="97"/>
  <c r="A149" i="97"/>
  <c r="A148" i="97"/>
  <c r="A147" i="97"/>
  <c r="A314" i="97"/>
  <c r="A12" i="97"/>
  <c r="A1" i="96" l="1"/>
  <c r="A57" i="73"/>
  <c r="A97" i="73"/>
  <c r="A61" i="73"/>
  <c r="A101" i="73"/>
  <c r="A65" i="73"/>
  <c r="A105" i="73"/>
  <c r="A73" i="73"/>
  <c r="A113" i="73"/>
  <c r="A102" i="83"/>
  <c r="A62" i="83"/>
  <c r="A110" i="83"/>
  <c r="A70" i="83"/>
  <c r="A114" i="83"/>
  <c r="A74" i="83"/>
  <c r="A100" i="85"/>
  <c r="A60" i="85"/>
  <c r="A104" i="85"/>
  <c r="A64" i="85"/>
  <c r="A72" i="85"/>
  <c r="A112" i="85"/>
  <c r="A62" i="68"/>
  <c r="A102" i="68"/>
  <c r="A66" i="68"/>
  <c r="A106" i="68"/>
  <c r="A56" i="10"/>
  <c r="A55" i="10"/>
  <c r="A95" i="10"/>
  <c r="A65" i="10"/>
  <c r="A105" i="10"/>
  <c r="A54" i="73"/>
  <c r="A94" i="73"/>
  <c r="A58" i="73"/>
  <c r="A98" i="73"/>
  <c r="A62" i="73"/>
  <c r="A102" i="73"/>
  <c r="A66" i="73"/>
  <c r="A106" i="73"/>
  <c r="A70" i="73"/>
  <c r="A110" i="73"/>
  <c r="A74" i="73"/>
  <c r="A114" i="73"/>
  <c r="A92" i="81"/>
  <c r="A52" i="81"/>
  <c r="A60" i="81"/>
  <c r="A100" i="81"/>
  <c r="A64" i="81"/>
  <c r="A104" i="81"/>
  <c r="A68" i="81"/>
  <c r="A108" i="81"/>
  <c r="A72" i="81"/>
  <c r="A112" i="81"/>
  <c r="A114" i="81"/>
  <c r="A74" i="81"/>
  <c r="A59" i="68"/>
  <c r="A99" i="68"/>
  <c r="A63" i="68"/>
  <c r="A103" i="68"/>
  <c r="A67" i="68"/>
  <c r="A107" i="68"/>
  <c r="A92" i="10"/>
  <c r="A52" i="10"/>
  <c r="A97" i="10"/>
  <c r="A57" i="10"/>
  <c r="A102" i="10"/>
  <c r="A62" i="10"/>
  <c r="A93" i="81"/>
  <c r="A53" i="81"/>
  <c r="A101" i="81"/>
  <c r="A61" i="81"/>
  <c r="A105" i="81"/>
  <c r="A65" i="81"/>
  <c r="A109" i="81"/>
  <c r="A69" i="81"/>
  <c r="A113" i="81"/>
  <c r="A73" i="81"/>
  <c r="A53" i="73"/>
  <c r="A93" i="73"/>
  <c r="A69" i="73"/>
  <c r="A109" i="73"/>
  <c r="A106" i="83"/>
  <c r="A66" i="83"/>
  <c r="A92" i="85"/>
  <c r="A52" i="85"/>
  <c r="A108" i="85"/>
  <c r="A68" i="85"/>
  <c r="A60" i="10"/>
  <c r="A100" i="10"/>
  <c r="A61" i="83"/>
  <c r="A101" i="83"/>
  <c r="A105" i="83"/>
  <c r="A65" i="83"/>
  <c r="A69" i="83"/>
  <c r="A109" i="83"/>
  <c r="A113" i="83"/>
  <c r="A73" i="83"/>
  <c r="A59" i="85"/>
  <c r="A99" i="85"/>
  <c r="A103" i="85"/>
  <c r="A63" i="85"/>
  <c r="A67" i="85"/>
  <c r="A107" i="85"/>
  <c r="A111" i="85"/>
  <c r="A71" i="85"/>
  <c r="A101" i="68"/>
  <c r="A61" i="68"/>
  <c r="A54" i="10"/>
  <c r="A94" i="10"/>
  <c r="A59" i="10"/>
  <c r="A99" i="10"/>
  <c r="A95" i="73"/>
  <c r="A55" i="73"/>
  <c r="A103" i="73"/>
  <c r="A63" i="73"/>
  <c r="A107" i="73"/>
  <c r="A67" i="73"/>
  <c r="A102" i="81"/>
  <c r="A62" i="81"/>
  <c r="A106" i="81"/>
  <c r="A66" i="81"/>
  <c r="A99" i="83"/>
  <c r="A59" i="83"/>
  <c r="A103" i="83"/>
  <c r="A63" i="83"/>
  <c r="A111" i="83"/>
  <c r="A71" i="83"/>
  <c r="A101" i="85"/>
  <c r="A61" i="85"/>
  <c r="A105" i="85"/>
  <c r="A65" i="85"/>
  <c r="A109" i="85"/>
  <c r="A69" i="85"/>
  <c r="A113" i="85"/>
  <c r="A73" i="85"/>
  <c r="A96" i="73"/>
  <c r="A56" i="73"/>
  <c r="A100" i="73"/>
  <c r="A60" i="73"/>
  <c r="A104" i="73"/>
  <c r="A64" i="73"/>
  <c r="A108" i="73"/>
  <c r="A68" i="73"/>
  <c r="A59" i="81"/>
  <c r="A99" i="81"/>
  <c r="A63" i="81"/>
  <c r="A103" i="81"/>
  <c r="A67" i="81"/>
  <c r="A107" i="81"/>
  <c r="A71" i="81"/>
  <c r="A111" i="81"/>
  <c r="A92" i="83"/>
  <c r="A52" i="83"/>
  <c r="A100" i="83"/>
  <c r="A60" i="83"/>
  <c r="A104" i="83"/>
  <c r="A64" i="83"/>
  <c r="A108" i="83"/>
  <c r="A68" i="83"/>
  <c r="A112" i="83"/>
  <c r="A72" i="83"/>
  <c r="A102" i="85"/>
  <c r="A62" i="85"/>
  <c r="A106" i="85"/>
  <c r="A66" i="85"/>
  <c r="A110" i="85"/>
  <c r="A70" i="85"/>
  <c r="A114" i="85"/>
  <c r="A74" i="85"/>
  <c r="A105" i="68"/>
  <c r="A65" i="68"/>
  <c r="A64" i="10"/>
  <c r="A104" i="10"/>
  <c r="A99" i="73"/>
  <c r="A59" i="73"/>
  <c r="A111" i="73"/>
  <c r="A71" i="73"/>
  <c r="A98" i="81"/>
  <c r="A58" i="81"/>
  <c r="A110" i="81"/>
  <c r="A70" i="81"/>
  <c r="A107" i="83"/>
  <c r="A67" i="83"/>
  <c r="A53" i="6"/>
  <c r="A93" i="6"/>
  <c r="A92" i="73"/>
  <c r="A52" i="73"/>
  <c r="A112" i="73"/>
  <c r="A72" i="73"/>
  <c r="A92" i="68"/>
  <c r="A52" i="68"/>
  <c r="A100" i="68"/>
  <c r="A60" i="68"/>
  <c r="A104" i="68"/>
  <c r="A64" i="68"/>
  <c r="A108" i="68"/>
  <c r="A68" i="68"/>
  <c r="A93" i="10"/>
  <c r="A53" i="10"/>
  <c r="A98" i="10"/>
  <c r="A58" i="10"/>
  <c r="A103" i="10"/>
  <c r="A63" i="10"/>
  <c r="A63" i="97"/>
  <c r="A62" i="97"/>
  <c r="A445" i="97"/>
  <c r="A444" i="97"/>
  <c r="A443" i="97"/>
  <c r="A442" i="97"/>
  <c r="A441" i="97"/>
  <c r="A440" i="97"/>
  <c r="A439" i="97"/>
  <c r="A438" i="97"/>
  <c r="A1" i="100" s="1"/>
  <c r="D29" i="96" s="1"/>
  <c r="A4" i="32"/>
  <c r="A215" i="97"/>
  <c r="A4" i="28" s="1"/>
  <c r="A55" i="97"/>
  <c r="A4" i="45" s="1"/>
  <c r="A116" i="38"/>
  <c r="A116" i="45"/>
  <c r="A116" i="47"/>
  <c r="A116" i="49"/>
  <c r="A116" i="41"/>
  <c r="A76" i="38"/>
  <c r="A76" i="45"/>
  <c r="A76" i="47"/>
  <c r="A76" i="49"/>
  <c r="A76" i="41"/>
  <c r="A36" i="97"/>
  <c r="A35" i="97"/>
  <c r="A32" i="97"/>
  <c r="A31" i="97"/>
  <c r="A91" i="100" s="1"/>
  <c r="A30" i="97"/>
  <c r="A51" i="100" s="1"/>
  <c r="A29" i="97"/>
  <c r="A11" i="100" s="1"/>
  <c r="A65" i="97"/>
  <c r="A11" i="98" l="1"/>
  <c r="A11" i="99"/>
  <c r="A56" i="98"/>
  <c r="A51" i="99"/>
  <c r="A96" i="98"/>
  <c r="A91" i="99"/>
  <c r="A51" i="45"/>
  <c r="A51" i="10"/>
  <c r="A51" i="22"/>
  <c r="A51" i="81"/>
  <c r="A51" i="85"/>
  <c r="A51" i="8"/>
  <c r="A51" i="36"/>
  <c r="A51" i="73"/>
  <c r="A51" i="6"/>
  <c r="A51" i="24"/>
  <c r="A51" i="32"/>
  <c r="A51" i="7"/>
  <c r="A51" i="68"/>
  <c r="A51" i="64"/>
  <c r="A51" i="28"/>
  <c r="A51" i="5"/>
  <c r="A51" i="9"/>
  <c r="A51" i="13"/>
  <c r="A51" i="15"/>
  <c r="A51" i="83"/>
  <c r="A51" i="17"/>
  <c r="A51" i="69"/>
  <c r="A91" i="45"/>
  <c r="A91" i="24"/>
  <c r="A91" i="17"/>
  <c r="A91" i="32"/>
  <c r="A91" i="69"/>
  <c r="A91" i="7"/>
  <c r="A91" i="28"/>
  <c r="A91" i="9"/>
  <c r="A91" i="13"/>
  <c r="A91" i="83"/>
  <c r="A91" i="10"/>
  <c r="A91" i="22"/>
  <c r="A91" i="81"/>
  <c r="A91" i="85"/>
  <c r="A91" i="8"/>
  <c r="A91" i="68"/>
  <c r="A91" i="64"/>
  <c r="A91" i="5"/>
  <c r="A91" i="15"/>
  <c r="A91" i="73"/>
  <c r="A91" i="6"/>
  <c r="A91" i="36"/>
  <c r="A11" i="69"/>
  <c r="A51" i="47"/>
  <c r="A51" i="41"/>
  <c r="A11" i="17"/>
  <c r="A4" i="41"/>
  <c r="A11" i="47"/>
  <c r="A51" i="38"/>
  <c r="A4" i="47"/>
  <c r="A4" i="38"/>
  <c r="A11" i="9"/>
  <c r="A11" i="64"/>
  <c r="A11" i="7"/>
  <c r="A11" i="32"/>
  <c r="A11" i="24"/>
  <c r="A11" i="45"/>
  <c r="A11" i="13"/>
  <c r="A11" i="15"/>
  <c r="A11" i="73"/>
  <c r="A11" i="83"/>
  <c r="A11" i="6"/>
  <c r="A11" i="36"/>
  <c r="A11" i="41"/>
  <c r="A11" i="49"/>
  <c r="A11" i="10"/>
  <c r="A11" i="22"/>
  <c r="A11" i="81"/>
  <c r="A11" i="85"/>
  <c r="A11" i="8"/>
  <c r="A11" i="38"/>
  <c r="A91" i="47"/>
  <c r="A91" i="38"/>
  <c r="A91" i="41"/>
  <c r="A11" i="5"/>
  <c r="A11" i="28"/>
  <c r="A11" i="68"/>
  <c r="A91" i="49"/>
  <c r="A51" i="49"/>
  <c r="A4" i="49"/>
  <c r="A293" i="97"/>
  <c r="A15" i="81" s="1"/>
  <c r="A294" i="97"/>
  <c r="A16" i="81" s="1"/>
  <c r="A295" i="97"/>
  <c r="A17" i="81" s="1"/>
  <c r="A296" i="97"/>
  <c r="A297" i="97"/>
  <c r="A298" i="97"/>
  <c r="A299" i="97"/>
  <c r="A300" i="97"/>
  <c r="A301" i="97"/>
  <c r="A302" i="97"/>
  <c r="A303" i="97"/>
  <c r="A304" i="97"/>
  <c r="A305" i="97"/>
  <c r="A306" i="97"/>
  <c r="A307" i="97"/>
  <c r="A308" i="97"/>
  <c r="A309" i="97"/>
  <c r="A310" i="97"/>
  <c r="A311" i="97"/>
  <c r="A312" i="97"/>
  <c r="A313" i="97"/>
  <c r="A315" i="97"/>
  <c r="A1" i="83" s="1"/>
  <c r="A339" i="97"/>
  <c r="A13" i="83" s="1"/>
  <c r="A340" i="97"/>
  <c r="A14" i="83" s="1"/>
  <c r="A341" i="97"/>
  <c r="A15" i="83" s="1"/>
  <c r="A342" i="97"/>
  <c r="A16" i="83" s="1"/>
  <c r="A343" i="97"/>
  <c r="A17" i="83" s="1"/>
  <c r="A344" i="97"/>
  <c r="A18" i="83" s="1"/>
  <c r="A345" i="97"/>
  <c r="A346" i="97"/>
  <c r="A347" i="97"/>
  <c r="A348" i="97"/>
  <c r="A349" i="97"/>
  <c r="A350" i="97"/>
  <c r="A351" i="97"/>
  <c r="A352" i="97"/>
  <c r="A353" i="97"/>
  <c r="A1" i="85" s="1"/>
  <c r="D39" i="96" s="1"/>
  <c r="A377" i="97"/>
  <c r="A13" i="85" s="1"/>
  <c r="A378" i="97"/>
  <c r="A14" i="85" s="1"/>
  <c r="A379" i="97"/>
  <c r="A15" i="85" s="1"/>
  <c r="A380" i="97"/>
  <c r="A16" i="85" s="1"/>
  <c r="A381" i="97"/>
  <c r="A17" i="85" s="1"/>
  <c r="A382" i="97"/>
  <c r="A18" i="85" s="1"/>
  <c r="A383" i="97"/>
  <c r="A384" i="97"/>
  <c r="A386" i="97"/>
  <c r="A387" i="97"/>
  <c r="A388" i="97"/>
  <c r="A389" i="97"/>
  <c r="A390" i="97"/>
  <c r="A391" i="97"/>
  <c r="A392" i="97"/>
  <c r="A393" i="97"/>
  <c r="A394" i="97"/>
  <c r="A395" i="97"/>
  <c r="A1" i="5" s="1"/>
  <c r="A396" i="97"/>
  <c r="A12" i="5" s="1"/>
  <c r="A397" i="97"/>
  <c r="A13" i="5" s="1"/>
  <c r="A398" i="97"/>
  <c r="A14" i="5" s="1"/>
  <c r="A399" i="97"/>
  <c r="A1" i="6" s="1"/>
  <c r="A400" i="97"/>
  <c r="A12" i="6" s="1"/>
  <c r="A402" i="97"/>
  <c r="A14" i="6" s="1"/>
  <c r="A403" i="97"/>
  <c r="A15" i="6" s="1"/>
  <c r="A404" i="97"/>
  <c r="A16" i="6" s="1"/>
  <c r="A405" i="97"/>
  <c r="A17" i="6" s="1"/>
  <c r="A406" i="97"/>
  <c r="A1" i="7" s="1"/>
  <c r="A407" i="97"/>
  <c r="A12" i="7" s="1"/>
  <c r="A408" i="97"/>
  <c r="A13" i="7" s="1"/>
  <c r="A409" i="97"/>
  <c r="A14" i="7" s="1"/>
  <c r="A410" i="97"/>
  <c r="A15" i="7" s="1"/>
  <c r="A411" i="97"/>
  <c r="A16" i="7" s="1"/>
  <c r="A412" i="97"/>
  <c r="A17" i="7" s="1"/>
  <c r="A413" i="97"/>
  <c r="A18" i="7" s="1"/>
  <c r="A414" i="97"/>
  <c r="A1" i="8" s="1"/>
  <c r="A415" i="97"/>
  <c r="A12" i="8" s="1"/>
  <c r="A416" i="97"/>
  <c r="A13" i="8" s="1"/>
  <c r="A417" i="97"/>
  <c r="A1" i="9" s="1"/>
  <c r="A418" i="97"/>
  <c r="A12" i="9" s="1"/>
  <c r="A419" i="97"/>
  <c r="A13" i="9" s="1"/>
  <c r="A420" i="97"/>
  <c r="A14" i="9" s="1"/>
  <c r="A421" i="97"/>
  <c r="A15" i="9" s="1"/>
  <c r="A422" i="97"/>
  <c r="A16" i="9" s="1"/>
  <c r="A423" i="97"/>
  <c r="A17" i="9" s="1"/>
  <c r="A429" i="97"/>
  <c r="A430" i="97"/>
  <c r="A428" i="97"/>
  <c r="A431" i="97"/>
  <c r="A432" i="97"/>
  <c r="A425" i="97"/>
  <c r="A426" i="97"/>
  <c r="A427" i="97"/>
  <c r="A434" i="97"/>
  <c r="A435" i="97"/>
  <c r="A436" i="97"/>
  <c r="A385" i="97"/>
  <c r="A424" i="97"/>
  <c r="A24" i="97"/>
  <c r="A25" i="97"/>
  <c r="A26" i="97"/>
  <c r="A437" i="97"/>
  <c r="A28" i="97"/>
  <c r="A2" i="100" s="1"/>
  <c r="A433" i="97"/>
  <c r="A43" i="97"/>
  <c r="A44" i="97"/>
  <c r="A45" i="97"/>
  <c r="A46" i="97"/>
  <c r="A47" i="97"/>
  <c r="A48" i="97"/>
  <c r="A49" i="97"/>
  <c r="A446" i="97"/>
  <c r="A447" i="97"/>
  <c r="A87" i="97"/>
  <c r="A88" i="97"/>
  <c r="A89" i="97"/>
  <c r="A90" i="97"/>
  <c r="A91" i="97"/>
  <c r="A92" i="97"/>
  <c r="A93" i="97"/>
  <c r="A94" i="97"/>
  <c r="A95" i="97"/>
  <c r="A96" i="97"/>
  <c r="A97" i="97"/>
  <c r="A98" i="97"/>
  <c r="A99" i="97"/>
  <c r="A100" i="97"/>
  <c r="A101" i="97"/>
  <c r="A102" i="97"/>
  <c r="A103" i="97"/>
  <c r="A104" i="97"/>
  <c r="A105" i="97"/>
  <c r="A106" i="97"/>
  <c r="A1" i="68" s="1"/>
  <c r="A124" i="97"/>
  <c r="A13" i="68" s="1"/>
  <c r="A125" i="97"/>
  <c r="A14" i="68" s="1"/>
  <c r="A126" i="97"/>
  <c r="A15" i="68" s="1"/>
  <c r="A127" i="97"/>
  <c r="A16" i="68" s="1"/>
  <c r="A128" i="97"/>
  <c r="A17" i="68" s="1"/>
  <c r="A129" i="97"/>
  <c r="A18" i="68" s="1"/>
  <c r="A130" i="97"/>
  <c r="A1" i="13" s="1"/>
  <c r="D35" i="96" s="1"/>
  <c r="A131" i="97"/>
  <c r="A12" i="13" s="1"/>
  <c r="A132" i="97"/>
  <c r="A13" i="13" s="1"/>
  <c r="A133" i="97"/>
  <c r="A14" i="13" s="1"/>
  <c r="A134" i="97"/>
  <c r="A15" i="13" s="1"/>
  <c r="A135" i="97"/>
  <c r="A16" i="13" s="1"/>
  <c r="A136" i="97"/>
  <c r="A17" i="13" s="1"/>
  <c r="A137" i="97"/>
  <c r="A18" i="13" s="1"/>
  <c r="A138" i="97"/>
  <c r="A1" i="24" s="1"/>
  <c r="D38" i="96" s="1"/>
  <c r="A139" i="97"/>
  <c r="A12" i="24" s="1"/>
  <c r="A140" i="97"/>
  <c r="A13" i="24" s="1"/>
  <c r="A141" i="97"/>
  <c r="A14" i="24" s="1"/>
  <c r="A142" i="97"/>
  <c r="A15" i="24" s="1"/>
  <c r="A143" i="97"/>
  <c r="A16" i="24" s="1"/>
  <c r="A144" i="97"/>
  <c r="A17" i="24" s="1"/>
  <c r="A145" i="97"/>
  <c r="A18" i="24" s="1"/>
  <c r="A146" i="97"/>
  <c r="A159" i="97"/>
  <c r="A160" i="97"/>
  <c r="A161" i="97"/>
  <c r="A162" i="97"/>
  <c r="A163" i="97"/>
  <c r="A164" i="97"/>
  <c r="A1" i="10" s="1"/>
  <c r="A178" i="97"/>
  <c r="A179" i="97"/>
  <c r="A180" i="97"/>
  <c r="A182" i="97"/>
  <c r="A183" i="97"/>
  <c r="A184" i="97"/>
  <c r="A185" i="97"/>
  <c r="A186" i="97"/>
  <c r="A1" i="64" s="1"/>
  <c r="A187" i="97"/>
  <c r="A12" i="64" s="1"/>
  <c r="A188" i="97"/>
  <c r="A13" i="64" s="1"/>
  <c r="A189" i="97"/>
  <c r="A14" i="64" s="1"/>
  <c r="A190" i="97"/>
  <c r="A191" i="97"/>
  <c r="A1" i="17" s="1"/>
  <c r="D37" i="96" s="1"/>
  <c r="A192" i="97"/>
  <c r="A195" i="97"/>
  <c r="A196" i="97"/>
  <c r="A197" i="97"/>
  <c r="A198" i="97"/>
  <c r="A199" i="97"/>
  <c r="A207" i="97"/>
  <c r="A1" i="22" s="1"/>
  <c r="A208" i="97"/>
  <c r="A12" i="22" s="1"/>
  <c r="A210" i="97"/>
  <c r="A14" i="22" s="1"/>
  <c r="A211" i="97"/>
  <c r="A15" i="22" s="1"/>
  <c r="A212" i="97"/>
  <c r="A16" i="22" s="1"/>
  <c r="A213" i="97"/>
  <c r="A17" i="22" s="1"/>
  <c r="A214" i="97"/>
  <c r="A1" i="28" s="1"/>
  <c r="A216" i="97"/>
  <c r="A12" i="28" s="1"/>
  <c r="A217" i="97"/>
  <c r="A13" i="28" s="1"/>
  <c r="A218" i="97"/>
  <c r="A14" i="28" s="1"/>
  <c r="A219" i="97"/>
  <c r="A15" i="28" s="1"/>
  <c r="A220" i="97"/>
  <c r="A16" i="28" s="1"/>
  <c r="A221" i="97"/>
  <c r="A17" i="28" s="1"/>
  <c r="A222" i="97"/>
  <c r="A1" i="73" s="1"/>
  <c r="A1" i="32"/>
  <c r="A12" i="32"/>
  <c r="A13" i="32"/>
  <c r="A14" i="32"/>
  <c r="A15" i="32"/>
  <c r="A16" i="32"/>
  <c r="A17" i="32"/>
  <c r="A1" i="81"/>
  <c r="A292" i="97"/>
  <c r="A14" i="81" s="1"/>
  <c r="A86" i="97"/>
  <c r="A85" i="97"/>
  <c r="A84" i="97"/>
  <c r="A83" i="97"/>
  <c r="A82" i="97"/>
  <c r="A81" i="97"/>
  <c r="A80" i="97"/>
  <c r="A79" i="97"/>
  <c r="A78" i="97"/>
  <c r="A77" i="97"/>
  <c r="A76" i="97"/>
  <c r="A75" i="97"/>
  <c r="A74" i="97"/>
  <c r="A73" i="97"/>
  <c r="A72" i="97"/>
  <c r="A71" i="97"/>
  <c r="A70" i="97"/>
  <c r="A69" i="97"/>
  <c r="A68" i="97"/>
  <c r="A67" i="97"/>
  <c r="A66" i="97"/>
  <c r="A64" i="97"/>
  <c r="A61" i="97"/>
  <c r="A54" i="97"/>
  <c r="A1" i="49" s="1"/>
  <c r="A53" i="97"/>
  <c r="A1" i="47" s="1"/>
  <c r="A52" i="97"/>
  <c r="A1" i="45" s="1"/>
  <c r="A51" i="97"/>
  <c r="A1" i="38" s="1"/>
  <c r="A50" i="97"/>
  <c r="A1" i="41" s="1"/>
  <c r="D40" i="96" s="1"/>
  <c r="A40" i="97"/>
  <c r="L3" i="100" s="1"/>
  <c r="A39" i="97"/>
  <c r="Q3" i="100" s="1"/>
  <c r="A38" i="97"/>
  <c r="A60" i="97"/>
  <c r="A59" i="97"/>
  <c r="A58" i="97"/>
  <c r="A57" i="97"/>
  <c r="A56" i="97"/>
  <c r="A34" i="97"/>
  <c r="A33" i="97"/>
  <c r="A12" i="15" l="1"/>
  <c r="A12" i="17"/>
  <c r="U4" i="100"/>
  <c r="F4" i="98"/>
  <c r="F4" i="64"/>
  <c r="F4" i="22"/>
  <c r="F4" i="24"/>
  <c r="F4" i="5"/>
  <c r="F4" i="7"/>
  <c r="F4" i="28"/>
  <c r="F4" i="73"/>
  <c r="F4" i="36"/>
  <c r="F4" i="85"/>
  <c r="F4" i="49"/>
  <c r="F4" i="99"/>
  <c r="F4" i="15"/>
  <c r="F4" i="17"/>
  <c r="F4" i="32"/>
  <c r="F4" i="81"/>
  <c r="F4" i="47"/>
  <c r="F4" i="6"/>
  <c r="F4" i="9"/>
  <c r="F4" i="10"/>
  <c r="P4" i="100"/>
  <c r="K4" i="100"/>
  <c r="F4" i="100"/>
  <c r="F4" i="83"/>
  <c r="F4" i="45"/>
  <c r="F4" i="13"/>
  <c r="F4" i="69"/>
  <c r="F4" i="8"/>
  <c r="F4" i="38"/>
  <c r="F4" i="41"/>
  <c r="F4" i="68"/>
  <c r="K4" i="64"/>
  <c r="K4" i="73"/>
  <c r="K4" i="32"/>
  <c r="K4" i="36"/>
  <c r="K4" i="81"/>
  <c r="K4" i="47"/>
  <c r="K4" i="10"/>
  <c r="K4" i="83"/>
  <c r="K4" i="45"/>
  <c r="K4" i="41"/>
  <c r="K4" i="99"/>
  <c r="K4" i="6"/>
  <c r="K4" i="9"/>
  <c r="K4" i="8"/>
  <c r="K4" i="98"/>
  <c r="K4" i="15"/>
  <c r="K4" i="24"/>
  <c r="K4" i="28"/>
  <c r="K4" i="38"/>
  <c r="K4" i="49"/>
  <c r="K4" i="68"/>
  <c r="K4" i="13"/>
  <c r="K4" i="17"/>
  <c r="K4" i="22"/>
  <c r="K4" i="69"/>
  <c r="K4" i="85"/>
  <c r="K4" i="5"/>
  <c r="K4" i="7"/>
  <c r="I4" i="100"/>
  <c r="D4" i="13"/>
  <c r="D4" i="17"/>
  <c r="D4" i="28"/>
  <c r="D4" i="9"/>
  <c r="D4" i="68"/>
  <c r="S4" i="100"/>
  <c r="N4" i="100"/>
  <c r="D4" i="64"/>
  <c r="D4" i="83"/>
  <c r="D4" i="69"/>
  <c r="D4" i="45"/>
  <c r="D4" i="24"/>
  <c r="D4" i="73"/>
  <c r="D4" i="38"/>
  <c r="D4" i="41"/>
  <c r="D4" i="99"/>
  <c r="D4" i="5"/>
  <c r="D4" i="8"/>
  <c r="D4" i="98"/>
  <c r="D4" i="36"/>
  <c r="D4" i="81"/>
  <c r="D4" i="85"/>
  <c r="D4" i="49"/>
  <c r="D4" i="6"/>
  <c r="D4" i="7"/>
  <c r="D4" i="100"/>
  <c r="D4" i="15"/>
  <c r="D4" i="22"/>
  <c r="D4" i="32"/>
  <c r="D4" i="10"/>
  <c r="D4" i="47"/>
  <c r="I4" i="98"/>
  <c r="I4" i="15"/>
  <c r="I4" i="24"/>
  <c r="I4" i="28"/>
  <c r="I4" i="38"/>
  <c r="I4" i="49"/>
  <c r="I4" i="68"/>
  <c r="I4" i="13"/>
  <c r="I4" i="17"/>
  <c r="I4" i="22"/>
  <c r="I4" i="69"/>
  <c r="I4" i="85"/>
  <c r="I4" i="5"/>
  <c r="I4" i="7"/>
  <c r="I4" i="64"/>
  <c r="I4" i="73"/>
  <c r="I4" i="32"/>
  <c r="I4" i="36"/>
  <c r="I4" i="81"/>
  <c r="I4" i="47"/>
  <c r="I4" i="10"/>
  <c r="I4" i="83"/>
  <c r="I4" i="45"/>
  <c r="I4" i="41"/>
  <c r="I4" i="99"/>
  <c r="I4" i="6"/>
  <c r="I4" i="9"/>
  <c r="I4" i="8"/>
  <c r="B43" i="96"/>
  <c r="A43" i="98" s="1"/>
  <c r="B39" i="96"/>
  <c r="A39" i="98" s="1"/>
  <c r="B35" i="96"/>
  <c r="A35" i="98" s="1"/>
  <c r="B31" i="96"/>
  <c r="A31" i="98" s="1"/>
  <c r="B27" i="96"/>
  <c r="A27" i="98" s="1"/>
  <c r="B23" i="96"/>
  <c r="A23" i="98" s="1"/>
  <c r="B19" i="96"/>
  <c r="A19" i="98" s="1"/>
  <c r="B15" i="96"/>
  <c r="A15" i="98" s="1"/>
  <c r="B42" i="96"/>
  <c r="A42" i="98" s="1"/>
  <c r="B37" i="96"/>
  <c r="A37" i="98" s="1"/>
  <c r="B32" i="96"/>
  <c r="A32" i="98" s="1"/>
  <c r="B26" i="96"/>
  <c r="A26" i="98" s="1"/>
  <c r="B21" i="96"/>
  <c r="A21" i="98" s="1"/>
  <c r="B16" i="96"/>
  <c r="A16" i="98" s="1"/>
  <c r="B41" i="96"/>
  <c r="A41" i="98" s="1"/>
  <c r="B36" i="96"/>
  <c r="A36" i="98" s="1"/>
  <c r="B30" i="96"/>
  <c r="A30" i="98" s="1"/>
  <c r="B25" i="96"/>
  <c r="A25" i="98" s="1"/>
  <c r="B20" i="96"/>
  <c r="A20" i="98" s="1"/>
  <c r="B14" i="96"/>
  <c r="A14" i="98" s="1"/>
  <c r="B40" i="96"/>
  <c r="A40" i="98" s="1"/>
  <c r="B34" i="96"/>
  <c r="A34" i="98" s="1"/>
  <c r="B29" i="96"/>
  <c r="A29" i="98" s="1"/>
  <c r="B24" i="96"/>
  <c r="A24" i="98" s="1"/>
  <c r="B18" i="96"/>
  <c r="A18" i="98" s="1"/>
  <c r="B13" i="96"/>
  <c r="A13" i="98" s="1"/>
  <c r="B44" i="96"/>
  <c r="A44" i="98" s="1"/>
  <c r="B38" i="96"/>
  <c r="A38" i="98" s="1"/>
  <c r="B33" i="96"/>
  <c r="A33" i="98" s="1"/>
  <c r="B28" i="96"/>
  <c r="A28" i="98" s="1"/>
  <c r="B22" i="96"/>
  <c r="A22" i="98" s="1"/>
  <c r="B17" i="96"/>
  <c r="A17" i="98" s="1"/>
  <c r="B12" i="96"/>
  <c r="A12" i="98" s="1"/>
  <c r="A18" i="69"/>
  <c r="A98" i="69" s="1"/>
  <c r="A18" i="100"/>
  <c r="A14" i="69"/>
  <c r="A94" i="69" s="1"/>
  <c r="A14" i="100"/>
  <c r="M4" i="100"/>
  <c r="C4" i="15"/>
  <c r="C4" i="32"/>
  <c r="C4" i="36"/>
  <c r="C4" i="83"/>
  <c r="C4" i="85"/>
  <c r="C4" i="38"/>
  <c r="C4" i="45"/>
  <c r="C4" i="47"/>
  <c r="C4" i="49"/>
  <c r="C4" i="41"/>
  <c r="C4" i="8"/>
  <c r="C4" i="10"/>
  <c r="H4" i="100"/>
  <c r="C4" i="100"/>
  <c r="C4" i="22"/>
  <c r="R4" i="100"/>
  <c r="C4" i="64"/>
  <c r="C4" i="13"/>
  <c r="C4" i="69"/>
  <c r="C4" i="68"/>
  <c r="C4" i="24"/>
  <c r="C4" i="28"/>
  <c r="C4" i="73"/>
  <c r="C4" i="99"/>
  <c r="C4" i="5"/>
  <c r="C4" i="98"/>
  <c r="C4" i="17"/>
  <c r="C4" i="6"/>
  <c r="C4" i="81"/>
  <c r="C4" i="7"/>
  <c r="C4" i="9"/>
  <c r="H4" i="10"/>
  <c r="H4" i="83"/>
  <c r="H4" i="45"/>
  <c r="H4" i="41"/>
  <c r="H4" i="99"/>
  <c r="H4" i="6"/>
  <c r="H4" i="9"/>
  <c r="H4" i="8"/>
  <c r="H4" i="98"/>
  <c r="H4" i="15"/>
  <c r="H4" i="24"/>
  <c r="H4" i="28"/>
  <c r="H4" i="38"/>
  <c r="H4" i="49"/>
  <c r="H4" i="68"/>
  <c r="H4" i="13"/>
  <c r="H4" i="17"/>
  <c r="H4" i="22"/>
  <c r="H4" i="69"/>
  <c r="H4" i="85"/>
  <c r="H4" i="5"/>
  <c r="H4" i="7"/>
  <c r="H4" i="64"/>
  <c r="H4" i="73"/>
  <c r="H4" i="32"/>
  <c r="H4" i="36"/>
  <c r="H4" i="81"/>
  <c r="H4" i="47"/>
  <c r="A17" i="69"/>
  <c r="A97" i="69" s="1"/>
  <c r="A17" i="100"/>
  <c r="A13" i="69"/>
  <c r="A93" i="69" s="1"/>
  <c r="A13" i="100"/>
  <c r="Q4" i="100"/>
  <c r="B4" i="98"/>
  <c r="B4" i="64"/>
  <c r="B4" i="22"/>
  <c r="B4" i="24"/>
  <c r="B4" i="5"/>
  <c r="B4" i="7"/>
  <c r="B4" i="15"/>
  <c r="B4" i="17"/>
  <c r="B4" i="32"/>
  <c r="B4" i="81"/>
  <c r="B4" i="47"/>
  <c r="B4" i="6"/>
  <c r="B4" i="9"/>
  <c r="B4" i="10"/>
  <c r="L4" i="100"/>
  <c r="G4" i="100"/>
  <c r="B4" i="100"/>
  <c r="B4" i="83"/>
  <c r="B4" i="45"/>
  <c r="B4" i="13"/>
  <c r="B4" i="69"/>
  <c r="B4" i="38"/>
  <c r="B4" i="41"/>
  <c r="B4" i="8"/>
  <c r="B4" i="68"/>
  <c r="B4" i="28"/>
  <c r="B4" i="73"/>
  <c r="B4" i="99"/>
  <c r="B4" i="36"/>
  <c r="B4" i="85"/>
  <c r="B4" i="49"/>
  <c r="G4" i="64"/>
  <c r="G4" i="73"/>
  <c r="G4" i="32"/>
  <c r="G4" i="36"/>
  <c r="G4" i="81"/>
  <c r="G4" i="47"/>
  <c r="G4" i="10"/>
  <c r="G4" i="83"/>
  <c r="G4" i="45"/>
  <c r="G4" i="41"/>
  <c r="G4" i="99"/>
  <c r="G4" i="6"/>
  <c r="G4" i="9"/>
  <c r="G4" i="8"/>
  <c r="G4" i="98"/>
  <c r="G4" i="15"/>
  <c r="G4" i="24"/>
  <c r="G4" i="28"/>
  <c r="G4" i="38"/>
  <c r="G4" i="49"/>
  <c r="G4" i="68"/>
  <c r="G4" i="13"/>
  <c r="G4" i="17"/>
  <c r="G4" i="22"/>
  <c r="G4" i="69"/>
  <c r="G4" i="85"/>
  <c r="G4" i="5"/>
  <c r="G4" i="7"/>
  <c r="A16" i="69"/>
  <c r="A96" i="69" s="1"/>
  <c r="A16" i="100"/>
  <c r="A12" i="69"/>
  <c r="A52" i="69" s="1"/>
  <c r="A12" i="100"/>
  <c r="E4" i="100"/>
  <c r="E4" i="73"/>
  <c r="E4" i="81"/>
  <c r="E4" i="69"/>
  <c r="E4" i="99"/>
  <c r="E4" i="6"/>
  <c r="E4" i="13"/>
  <c r="E4" i="24"/>
  <c r="E4" i="38"/>
  <c r="E4" i="41"/>
  <c r="E4" i="5"/>
  <c r="E4" i="8"/>
  <c r="E4" i="68"/>
  <c r="E4" i="98"/>
  <c r="E4" i="28"/>
  <c r="E4" i="36"/>
  <c r="E4" i="85"/>
  <c r="E4" i="49"/>
  <c r="E4" i="7"/>
  <c r="E4" i="15"/>
  <c r="E4" i="17"/>
  <c r="E4" i="22"/>
  <c r="E4" i="32"/>
  <c r="E4" i="47"/>
  <c r="E4" i="9"/>
  <c r="E4" i="10"/>
  <c r="T4" i="100"/>
  <c r="O4" i="100"/>
  <c r="J4" i="100"/>
  <c r="E4" i="64"/>
  <c r="E4" i="83"/>
  <c r="E4" i="45"/>
  <c r="J4" i="13"/>
  <c r="J4" i="17"/>
  <c r="J4" i="22"/>
  <c r="J4" i="69"/>
  <c r="J4" i="85"/>
  <c r="J4" i="5"/>
  <c r="J4" i="7"/>
  <c r="J4" i="64"/>
  <c r="J4" i="73"/>
  <c r="J4" i="32"/>
  <c r="J4" i="36"/>
  <c r="J4" i="81"/>
  <c r="J4" i="47"/>
  <c r="J4" i="10"/>
  <c r="J4" i="83"/>
  <c r="J4" i="45"/>
  <c r="J4" i="41"/>
  <c r="J4" i="99"/>
  <c r="J4" i="6"/>
  <c r="J4" i="9"/>
  <c r="J4" i="8"/>
  <c r="J4" i="98"/>
  <c r="J4" i="15"/>
  <c r="J4" i="24"/>
  <c r="J4" i="28"/>
  <c r="J4" i="38"/>
  <c r="J4" i="49"/>
  <c r="J4" i="68"/>
  <c r="A15" i="69"/>
  <c r="A95" i="69" s="1"/>
  <c r="A15" i="100"/>
  <c r="A1" i="69"/>
  <c r="A120" i="98"/>
  <c r="A116" i="98"/>
  <c r="A112" i="98"/>
  <c r="A108" i="98"/>
  <c r="A104" i="98"/>
  <c r="A100" i="98"/>
  <c r="A81" i="98"/>
  <c r="A77" i="98"/>
  <c r="A73" i="98"/>
  <c r="A69" i="98"/>
  <c r="A65" i="98"/>
  <c r="A61" i="98"/>
  <c r="A57" i="98"/>
  <c r="A123" i="98"/>
  <c r="A119" i="98"/>
  <c r="A115" i="98"/>
  <c r="A111" i="98"/>
  <c r="A107" i="98"/>
  <c r="A103" i="98"/>
  <c r="A99" i="98"/>
  <c r="A80" i="98"/>
  <c r="A76" i="98"/>
  <c r="A72" i="98"/>
  <c r="A68" i="98"/>
  <c r="A64" i="98"/>
  <c r="A60" i="98"/>
  <c r="A122" i="98"/>
  <c r="A118" i="98"/>
  <c r="A114" i="98"/>
  <c r="A110" i="98"/>
  <c r="A106" i="98"/>
  <c r="A102" i="98"/>
  <c r="A98" i="98"/>
  <c r="A83" i="98"/>
  <c r="A79" i="98"/>
  <c r="A75" i="98"/>
  <c r="A71" i="98"/>
  <c r="A67" i="98"/>
  <c r="A63" i="98"/>
  <c r="A59" i="98"/>
  <c r="A121" i="98"/>
  <c r="A117" i="98"/>
  <c r="A113" i="98"/>
  <c r="A109" i="98"/>
  <c r="A105" i="98"/>
  <c r="A101" i="98"/>
  <c r="A97" i="98"/>
  <c r="A82" i="98"/>
  <c r="A78" i="98"/>
  <c r="A74" i="98"/>
  <c r="A70" i="98"/>
  <c r="A66" i="98"/>
  <c r="A62" i="98"/>
  <c r="A58" i="98"/>
  <c r="A55" i="99"/>
  <c r="A95" i="99"/>
  <c r="P4" i="99"/>
  <c r="U4" i="99"/>
  <c r="Z4" i="99"/>
  <c r="A2" i="98"/>
  <c r="A2" i="99"/>
  <c r="Q3" i="98"/>
  <c r="Q3" i="99"/>
  <c r="A1" i="15"/>
  <c r="W4" i="99"/>
  <c r="R4" i="99"/>
  <c r="M4" i="99"/>
  <c r="L3" i="98"/>
  <c r="L3" i="99"/>
  <c r="A57" i="99"/>
  <c r="A97" i="99"/>
  <c r="A53" i="99"/>
  <c r="A93" i="99"/>
  <c r="L4" i="99"/>
  <c r="V4" i="99"/>
  <c r="Q4" i="99"/>
  <c r="V3" i="98"/>
  <c r="V3" i="99"/>
  <c r="X4" i="99"/>
  <c r="S4" i="99"/>
  <c r="N4" i="99"/>
  <c r="A54" i="99"/>
  <c r="A94" i="99"/>
  <c r="A56" i="99"/>
  <c r="A96" i="99"/>
  <c r="A52" i="99"/>
  <c r="A92" i="99"/>
  <c r="T4" i="99"/>
  <c r="O4" i="99"/>
  <c r="Y4" i="99"/>
  <c r="D21" i="96"/>
  <c r="T4" i="98"/>
  <c r="O4" i="98"/>
  <c r="Y4" i="98"/>
  <c r="V4" i="98"/>
  <c r="L4" i="98"/>
  <c r="Q4" i="98"/>
  <c r="Z4" i="98"/>
  <c r="P4" i="98"/>
  <c r="U4" i="98"/>
  <c r="X4" i="98"/>
  <c r="N4" i="98"/>
  <c r="S4" i="98"/>
  <c r="W4" i="98"/>
  <c r="M4" i="98"/>
  <c r="R4" i="98"/>
  <c r="R4" i="73"/>
  <c r="R4" i="69"/>
  <c r="L3" i="8"/>
  <c r="L3" i="38"/>
  <c r="L3" i="41"/>
  <c r="L3" i="9"/>
  <c r="L3" i="73"/>
  <c r="L3" i="28"/>
  <c r="L3" i="64"/>
  <c r="L3" i="68"/>
  <c r="L3" i="49"/>
  <c r="L3" i="7"/>
  <c r="L3" i="81"/>
  <c r="L3" i="24"/>
  <c r="L3" i="15"/>
  <c r="L3" i="13"/>
  <c r="L3" i="17"/>
  <c r="L3" i="47"/>
  <c r="L3" i="6"/>
  <c r="L3" i="83"/>
  <c r="L3" i="69"/>
  <c r="P3" i="36"/>
  <c r="L3" i="22"/>
  <c r="L3" i="10"/>
  <c r="L3" i="45"/>
  <c r="L3" i="5"/>
  <c r="L3" i="85"/>
  <c r="L3" i="32"/>
  <c r="V24" i="10"/>
  <c r="V64" i="10"/>
  <c r="V103" i="10"/>
  <c r="V63" i="10"/>
  <c r="V104" i="10"/>
  <c r="V23" i="10"/>
  <c r="Q4" i="73"/>
  <c r="Q4" i="69"/>
  <c r="T4" i="69"/>
  <c r="T4" i="73"/>
  <c r="Q3" i="68"/>
  <c r="Q3" i="49"/>
  <c r="Q3" i="7"/>
  <c r="Q3" i="81"/>
  <c r="Q3" i="24"/>
  <c r="Q3" i="15"/>
  <c r="Q3" i="13"/>
  <c r="Q3" i="47"/>
  <c r="Q3" i="6"/>
  <c r="Q3" i="83"/>
  <c r="U3" i="36"/>
  <c r="Q3" i="22"/>
  <c r="Q3" i="10"/>
  <c r="Q3" i="9"/>
  <c r="Q3" i="28"/>
  <c r="Q3" i="45"/>
  <c r="Q3" i="5"/>
  <c r="Q3" i="85"/>
  <c r="Q3" i="32"/>
  <c r="Q3" i="73"/>
  <c r="Q3" i="17"/>
  <c r="Q3" i="8"/>
  <c r="Q3" i="38"/>
  <c r="Q3" i="41"/>
  <c r="Q3" i="69"/>
  <c r="Q3" i="64"/>
  <c r="V3" i="47"/>
  <c r="V3" i="6"/>
  <c r="V3" i="83"/>
  <c r="Z3" i="36"/>
  <c r="V3" i="22"/>
  <c r="V3" i="10"/>
  <c r="V3" i="45"/>
  <c r="V3" i="5"/>
  <c r="V3" i="85"/>
  <c r="V3" i="32"/>
  <c r="V3" i="17"/>
  <c r="V3" i="49"/>
  <c r="V3" i="81"/>
  <c r="V3" i="13"/>
  <c r="V3" i="8"/>
  <c r="V3" i="38"/>
  <c r="V3" i="41"/>
  <c r="V3" i="9"/>
  <c r="V3" i="28"/>
  <c r="V3" i="64"/>
  <c r="V3" i="68"/>
  <c r="V3" i="7"/>
  <c r="V3" i="24"/>
  <c r="V3" i="15"/>
  <c r="U4" i="73"/>
  <c r="U4" i="69"/>
  <c r="S4" i="69"/>
  <c r="S4" i="73"/>
  <c r="A56" i="68"/>
  <c r="A96" i="68"/>
  <c r="A97" i="85"/>
  <c r="A57" i="85"/>
  <c r="A93" i="85"/>
  <c r="A53" i="85"/>
  <c r="A56" i="83"/>
  <c r="A96" i="83"/>
  <c r="A56" i="81"/>
  <c r="A96" i="81"/>
  <c r="A94" i="81"/>
  <c r="A54" i="81"/>
  <c r="A55" i="68"/>
  <c r="A95" i="68"/>
  <c r="A96" i="85"/>
  <c r="A56" i="85"/>
  <c r="A95" i="83"/>
  <c r="A55" i="83"/>
  <c r="A95" i="81"/>
  <c r="A55" i="81"/>
  <c r="A58" i="68"/>
  <c r="A98" i="68"/>
  <c r="A94" i="68"/>
  <c r="A54" i="68"/>
  <c r="A95" i="85"/>
  <c r="A55" i="85"/>
  <c r="A58" i="83"/>
  <c r="A98" i="83"/>
  <c r="A54" i="83"/>
  <c r="A94" i="83"/>
  <c r="A57" i="68"/>
  <c r="A97" i="68"/>
  <c r="A53" i="68"/>
  <c r="A93" i="68"/>
  <c r="A58" i="85"/>
  <c r="A98" i="85"/>
  <c r="A94" i="85"/>
  <c r="A54" i="85"/>
  <c r="A57" i="83"/>
  <c r="A97" i="83"/>
  <c r="A53" i="83"/>
  <c r="A93" i="83"/>
  <c r="A97" i="81"/>
  <c r="A57" i="81"/>
  <c r="A94" i="32"/>
  <c r="A54" i="32"/>
  <c r="A57" i="22"/>
  <c r="A97" i="22"/>
  <c r="A52" i="22"/>
  <c r="A92" i="22"/>
  <c r="A92" i="64"/>
  <c r="A52" i="64"/>
  <c r="A98" i="24"/>
  <c r="A58" i="24"/>
  <c r="A58" i="13"/>
  <c r="A98" i="13"/>
  <c r="A54" i="13"/>
  <c r="A94" i="13"/>
  <c r="A55" i="9"/>
  <c r="A95" i="9"/>
  <c r="A98" i="7"/>
  <c r="A58" i="7"/>
  <c r="A94" i="7"/>
  <c r="A54" i="7"/>
  <c r="A92" i="6"/>
  <c r="A52" i="6"/>
  <c r="A92" i="5"/>
  <c r="A52" i="5"/>
  <c r="A57" i="32"/>
  <c r="A97" i="32"/>
  <c r="A97" i="28"/>
  <c r="A57" i="28"/>
  <c r="A93" i="28"/>
  <c r="A53" i="28"/>
  <c r="A57" i="24"/>
  <c r="A97" i="24"/>
  <c r="A53" i="24"/>
  <c r="A93" i="24"/>
  <c r="A57" i="13"/>
  <c r="A97" i="13"/>
  <c r="A53" i="13"/>
  <c r="A93" i="13"/>
  <c r="A54" i="9"/>
  <c r="A94" i="9"/>
  <c r="A93" i="8"/>
  <c r="A53" i="8"/>
  <c r="A57" i="7"/>
  <c r="A97" i="7"/>
  <c r="A93" i="7"/>
  <c r="A53" i="7"/>
  <c r="A96" i="6"/>
  <c r="A56" i="6"/>
  <c r="A56" i="32"/>
  <c r="A96" i="32"/>
  <c r="A52" i="32"/>
  <c r="A92" i="32"/>
  <c r="A96" i="28"/>
  <c r="A56" i="28"/>
  <c r="A92" i="28"/>
  <c r="A52" i="28"/>
  <c r="A95" i="22"/>
  <c r="A55" i="22"/>
  <c r="A54" i="64"/>
  <c r="A94" i="64"/>
  <c r="A56" i="24"/>
  <c r="A96" i="24"/>
  <c r="A52" i="24"/>
  <c r="A92" i="24"/>
  <c r="A96" i="13"/>
  <c r="A56" i="13"/>
  <c r="A92" i="13"/>
  <c r="A52" i="13"/>
  <c r="A97" i="9"/>
  <c r="A57" i="9"/>
  <c r="A93" i="9"/>
  <c r="A53" i="9"/>
  <c r="A92" i="8"/>
  <c r="A52" i="8"/>
  <c r="A96" i="7"/>
  <c r="A56" i="7"/>
  <c r="A52" i="7"/>
  <c r="A92" i="7"/>
  <c r="A95" i="6"/>
  <c r="A55" i="6"/>
  <c r="A54" i="5"/>
  <c r="A94" i="5"/>
  <c r="A54" i="28"/>
  <c r="A94" i="28"/>
  <c r="A94" i="24"/>
  <c r="A54" i="24"/>
  <c r="A97" i="6"/>
  <c r="A57" i="6"/>
  <c r="A53" i="32"/>
  <c r="A93" i="32"/>
  <c r="A56" i="22"/>
  <c r="A96" i="22"/>
  <c r="A95" i="32"/>
  <c r="A55" i="32"/>
  <c r="A55" i="28"/>
  <c r="A95" i="28"/>
  <c r="A94" i="22"/>
  <c r="A54" i="22"/>
  <c r="A93" i="64"/>
  <c r="A53" i="64"/>
  <c r="A95" i="24"/>
  <c r="A55" i="24"/>
  <c r="A95" i="13"/>
  <c r="A55" i="13"/>
  <c r="A96" i="9"/>
  <c r="A56" i="9"/>
  <c r="A92" i="9"/>
  <c r="A52" i="9"/>
  <c r="A95" i="7"/>
  <c r="A55" i="7"/>
  <c r="A94" i="6"/>
  <c r="A54" i="6"/>
  <c r="A93" i="5"/>
  <c r="A53" i="5"/>
  <c r="A15" i="38"/>
  <c r="A15" i="45"/>
  <c r="A15" i="47"/>
  <c r="A15" i="49"/>
  <c r="A15" i="41"/>
  <c r="A12" i="36"/>
  <c r="A12" i="49"/>
  <c r="A12" i="45"/>
  <c r="A12" i="47"/>
  <c r="A12" i="38"/>
  <c r="A12" i="41"/>
  <c r="A15" i="36"/>
  <c r="A1" i="36"/>
  <c r="A16" i="15"/>
  <c r="A16" i="17"/>
  <c r="A13" i="38"/>
  <c r="A13" i="45"/>
  <c r="A13" i="47"/>
  <c r="A13" i="49"/>
  <c r="A13" i="41"/>
  <c r="A14" i="36"/>
  <c r="A19" i="17"/>
  <c r="A19" i="15"/>
  <c r="A15" i="17"/>
  <c r="A15" i="15"/>
  <c r="A16" i="36"/>
  <c r="A17" i="15"/>
  <c r="A17" i="17"/>
  <c r="A16" i="38"/>
  <c r="A16" i="47"/>
  <c r="A16" i="41"/>
  <c r="A16" i="45"/>
  <c r="A16" i="49"/>
  <c r="A14" i="45"/>
  <c r="A14" i="49"/>
  <c r="A14" i="38"/>
  <c r="A14" i="47"/>
  <c r="A14" i="41"/>
  <c r="A13" i="36"/>
  <c r="A18" i="17"/>
  <c r="A18" i="15"/>
  <c r="Y4" i="41"/>
  <c r="T4" i="38"/>
  <c r="O4" i="45"/>
  <c r="Y4" i="49"/>
  <c r="T4" i="68"/>
  <c r="O4" i="13"/>
  <c r="Y4" i="10"/>
  <c r="T4" i="64"/>
  <c r="O4" i="41"/>
  <c r="Y4" i="45"/>
  <c r="T4" i="47"/>
  <c r="O4" i="49"/>
  <c r="Y4" i="13"/>
  <c r="T4" i="24"/>
  <c r="O4" i="10"/>
  <c r="O4" i="38"/>
  <c r="T4" i="49"/>
  <c r="Y4" i="24"/>
  <c r="Y4" i="38"/>
  <c r="O4" i="47"/>
  <c r="T4" i="13"/>
  <c r="Y4" i="64"/>
  <c r="T4" i="15"/>
  <c r="O4" i="17"/>
  <c r="Y4" i="28"/>
  <c r="O4" i="32"/>
  <c r="T4" i="83"/>
  <c r="O4" i="69"/>
  <c r="T4" i="41"/>
  <c r="Y4" i="47"/>
  <c r="O4" i="68"/>
  <c r="T4" i="10"/>
  <c r="Y4" i="15"/>
  <c r="T4" i="17"/>
  <c r="O4" i="24"/>
  <c r="T4" i="22"/>
  <c r="T4" i="28"/>
  <c r="O4" i="81"/>
  <c r="O4" i="83"/>
  <c r="O4" i="85"/>
  <c r="Y4" i="6"/>
  <c r="T4" i="7"/>
  <c r="O4" i="8"/>
  <c r="Y4" i="36"/>
  <c r="Y4" i="68"/>
  <c r="Y4" i="17"/>
  <c r="O4" i="22"/>
  <c r="O4" i="28"/>
  <c r="O4" i="73"/>
  <c r="Y4" i="83"/>
  <c r="T4" i="85"/>
  <c r="O4" i="5"/>
  <c r="Y4" i="7"/>
  <c r="T4" i="8"/>
  <c r="O4" i="9"/>
  <c r="O4" i="64"/>
  <c r="Y4" i="22"/>
  <c r="T4" i="32"/>
  <c r="T4" i="81"/>
  <c r="Y4" i="5"/>
  <c r="T4" i="6"/>
  <c r="O4" i="7"/>
  <c r="Y4" i="9"/>
  <c r="T4" i="36"/>
  <c r="Y4" i="8"/>
  <c r="O4" i="6"/>
  <c r="T4" i="45"/>
  <c r="T4" i="5"/>
  <c r="O4" i="15"/>
  <c r="Y4" i="32"/>
  <c r="Y4" i="81"/>
  <c r="Y4" i="85"/>
  <c r="T4" i="9"/>
  <c r="O4" i="36"/>
  <c r="U4" i="41"/>
  <c r="P4" i="38"/>
  <c r="Z4" i="47"/>
  <c r="U4" i="49"/>
  <c r="P4" i="68"/>
  <c r="Z4" i="24"/>
  <c r="U4" i="10"/>
  <c r="Z4" i="38"/>
  <c r="U4" i="45"/>
  <c r="P4" i="47"/>
  <c r="Z4" i="68"/>
  <c r="U4" i="13"/>
  <c r="P4" i="24"/>
  <c r="Z4" i="64"/>
  <c r="P4" i="41"/>
  <c r="U4" i="47"/>
  <c r="Z4" i="13"/>
  <c r="Z4" i="41"/>
  <c r="P4" i="45"/>
  <c r="U4" i="68"/>
  <c r="Z4" i="10"/>
  <c r="P4" i="15"/>
  <c r="Z4" i="22"/>
  <c r="U4" i="28"/>
  <c r="P4" i="73"/>
  <c r="Z4" i="81"/>
  <c r="P4" i="83"/>
  <c r="Z4" i="45"/>
  <c r="P4" i="49"/>
  <c r="U4" i="24"/>
  <c r="U4" i="15"/>
  <c r="P4" i="10"/>
  <c r="Z4" i="17"/>
  <c r="Z4" i="28"/>
  <c r="Z4" i="32"/>
  <c r="U4" i="83"/>
  <c r="Z4" i="5"/>
  <c r="U4" i="6"/>
  <c r="P4" i="7"/>
  <c r="Z4" i="9"/>
  <c r="U4" i="36"/>
  <c r="P4" i="13"/>
  <c r="Z4" i="15"/>
  <c r="U4" i="32"/>
  <c r="U4" i="81"/>
  <c r="P4" i="69"/>
  <c r="P4" i="85"/>
  <c r="Z4" i="6"/>
  <c r="U4" i="7"/>
  <c r="P4" i="8"/>
  <c r="Z4" i="36"/>
  <c r="U4" i="38"/>
  <c r="U4" i="64"/>
  <c r="U4" i="17"/>
  <c r="P4" i="17"/>
  <c r="P4" i="22"/>
  <c r="P4" i="28"/>
  <c r="Z4" i="83"/>
  <c r="Z4" i="85"/>
  <c r="U4" i="5"/>
  <c r="P4" i="6"/>
  <c r="Z4" i="8"/>
  <c r="U4" i="9"/>
  <c r="P4" i="36"/>
  <c r="P4" i="64"/>
  <c r="U4" i="22"/>
  <c r="U4" i="85"/>
  <c r="P4" i="9"/>
  <c r="P4" i="32"/>
  <c r="P4" i="81"/>
  <c r="U4" i="8"/>
  <c r="Z4" i="49"/>
  <c r="P4" i="5"/>
  <c r="Z4" i="7"/>
  <c r="S4" i="41"/>
  <c r="N4" i="38"/>
  <c r="X4" i="47"/>
  <c r="S4" i="49"/>
  <c r="N4" i="68"/>
  <c r="X4" i="24"/>
  <c r="S4" i="10"/>
  <c r="X4" i="38"/>
  <c r="S4" i="45"/>
  <c r="N4" i="47"/>
  <c r="X4" i="68"/>
  <c r="S4" i="13"/>
  <c r="N4" i="24"/>
  <c r="X4" i="64"/>
  <c r="X4" i="45"/>
  <c r="N4" i="49"/>
  <c r="S4" i="24"/>
  <c r="S4" i="38"/>
  <c r="X4" i="49"/>
  <c r="N4" i="13"/>
  <c r="S4" i="64"/>
  <c r="N4" i="15"/>
  <c r="X4" i="22"/>
  <c r="S4" i="28"/>
  <c r="N4" i="73"/>
  <c r="X4" i="81"/>
  <c r="N4" i="83"/>
  <c r="N4" i="41"/>
  <c r="S4" i="47"/>
  <c r="X4" i="13"/>
  <c r="N4" i="10"/>
  <c r="S4" i="15"/>
  <c r="X4" i="41"/>
  <c r="N4" i="64"/>
  <c r="S4" i="32"/>
  <c r="S4" i="81"/>
  <c r="N4" i="69"/>
  <c r="X4" i="5"/>
  <c r="S4" i="6"/>
  <c r="N4" i="7"/>
  <c r="X4" i="9"/>
  <c r="S4" i="36"/>
  <c r="X4" i="10"/>
  <c r="S4" i="17"/>
  <c r="S4" i="22"/>
  <c r="N4" i="32"/>
  <c r="N4" i="81"/>
  <c r="N4" i="85"/>
  <c r="X4" i="6"/>
  <c r="S4" i="7"/>
  <c r="N4" i="8"/>
  <c r="X4" i="36"/>
  <c r="N4" i="45"/>
  <c r="X4" i="15"/>
  <c r="X4" i="28"/>
  <c r="X4" i="32"/>
  <c r="S4" i="83"/>
  <c r="X4" i="85"/>
  <c r="S4" i="5"/>
  <c r="N4" i="6"/>
  <c r="X4" i="8"/>
  <c r="S4" i="9"/>
  <c r="N4" i="36"/>
  <c r="S4" i="68"/>
  <c r="X4" i="17"/>
  <c r="N4" i="5"/>
  <c r="N4" i="17"/>
  <c r="N4" i="28"/>
  <c r="S4" i="85"/>
  <c r="N4" i="9"/>
  <c r="N4" i="22"/>
  <c r="S4" i="8"/>
  <c r="X4" i="83"/>
  <c r="X4" i="7"/>
  <c r="M4" i="41"/>
  <c r="W4" i="45"/>
  <c r="R4" i="47"/>
  <c r="M4" i="49"/>
  <c r="W4" i="13"/>
  <c r="R4" i="24"/>
  <c r="M4" i="10"/>
  <c r="W4" i="41"/>
  <c r="R4" i="38"/>
  <c r="M4" i="45"/>
  <c r="W4" i="49"/>
  <c r="R4" i="68"/>
  <c r="M4" i="13"/>
  <c r="W4" i="10"/>
  <c r="R4" i="45"/>
  <c r="W4" i="68"/>
  <c r="M4" i="24"/>
  <c r="M4" i="38"/>
  <c r="R4" i="49"/>
  <c r="W4" i="24"/>
  <c r="M4" i="64"/>
  <c r="W4" i="17"/>
  <c r="R4" i="22"/>
  <c r="M4" i="28"/>
  <c r="W4" i="32"/>
  <c r="R4" i="81"/>
  <c r="W4" i="38"/>
  <c r="M4" i="47"/>
  <c r="R4" i="13"/>
  <c r="W4" i="64"/>
  <c r="R4" i="64"/>
  <c r="M4" i="15"/>
  <c r="W4" i="47"/>
  <c r="W4" i="15"/>
  <c r="W4" i="22"/>
  <c r="W4" i="28"/>
  <c r="R4" i="83"/>
  <c r="W4" i="85"/>
  <c r="R4" i="5"/>
  <c r="M4" i="6"/>
  <c r="W4" i="8"/>
  <c r="R4" i="9"/>
  <c r="M4" i="36"/>
  <c r="R4" i="41"/>
  <c r="R4" i="28"/>
  <c r="R4" i="32"/>
  <c r="M4" i="83"/>
  <c r="M4" i="69"/>
  <c r="W4" i="5"/>
  <c r="R4" i="6"/>
  <c r="M4" i="7"/>
  <c r="W4" i="9"/>
  <c r="R4" i="36"/>
  <c r="M4" i="68"/>
  <c r="R4" i="10"/>
  <c r="R4" i="15"/>
  <c r="M4" i="17"/>
  <c r="M4" i="22"/>
  <c r="W4" i="81"/>
  <c r="W4" i="83"/>
  <c r="R4" i="85"/>
  <c r="M4" i="5"/>
  <c r="W4" i="7"/>
  <c r="R4" i="8"/>
  <c r="M4" i="9"/>
  <c r="M4" i="8"/>
  <c r="M4" i="32"/>
  <c r="W4" i="6"/>
  <c r="R4" i="17"/>
  <c r="R4" i="7"/>
  <c r="M4" i="73"/>
  <c r="M4" i="81"/>
  <c r="M4" i="85"/>
  <c r="W4" i="36"/>
  <c r="V4" i="38"/>
  <c r="Q4" i="45"/>
  <c r="L4" i="47"/>
  <c r="V4" i="68"/>
  <c r="Q4" i="13"/>
  <c r="L4" i="24"/>
  <c r="V4" i="64"/>
  <c r="Q4" i="41"/>
  <c r="L4" i="38"/>
  <c r="V4" i="47"/>
  <c r="Q4" i="49"/>
  <c r="L4" i="68"/>
  <c r="V4" i="24"/>
  <c r="Q4" i="10"/>
  <c r="V4" i="41"/>
  <c r="L4" i="45"/>
  <c r="Q4" i="68"/>
  <c r="V4" i="45"/>
  <c r="L4" i="49"/>
  <c r="Q4" i="24"/>
  <c r="V4" i="15"/>
  <c r="Q4" i="17"/>
  <c r="L4" i="22"/>
  <c r="Q4" i="32"/>
  <c r="L4" i="81"/>
  <c r="V4" i="83"/>
  <c r="Q4" i="38"/>
  <c r="V4" i="49"/>
  <c r="L4" i="13"/>
  <c r="L4" i="64"/>
  <c r="V4" i="17"/>
  <c r="V4" i="13"/>
  <c r="Q4" i="15"/>
  <c r="L4" i="17"/>
  <c r="V4" i="32"/>
  <c r="V4" i="81"/>
  <c r="Q4" i="85"/>
  <c r="L4" i="5"/>
  <c r="V4" i="7"/>
  <c r="Q4" i="8"/>
  <c r="L4" i="9"/>
  <c r="Q4" i="47"/>
  <c r="L4" i="10"/>
  <c r="Q4" i="64"/>
  <c r="V4" i="22"/>
  <c r="V4" i="28"/>
  <c r="Q4" i="81"/>
  <c r="Q4" i="83"/>
  <c r="V4" i="85"/>
  <c r="Q4" i="5"/>
  <c r="L4" i="6"/>
  <c r="V4" i="8"/>
  <c r="Q4" i="9"/>
  <c r="L4" i="36"/>
  <c r="L4" i="15"/>
  <c r="L4" i="28"/>
  <c r="L4" i="73"/>
  <c r="L4" i="32"/>
  <c r="L4" i="85"/>
  <c r="V4" i="6"/>
  <c r="Q4" i="7"/>
  <c r="L4" i="8"/>
  <c r="V4" i="36"/>
  <c r="Q4" i="6"/>
  <c r="V4" i="10"/>
  <c r="L4" i="41"/>
  <c r="Q4" i="22"/>
  <c r="Q4" i="28"/>
  <c r="V4" i="5"/>
  <c r="Q4" i="36"/>
  <c r="L4" i="69"/>
  <c r="L4" i="7"/>
  <c r="L4" i="83"/>
  <c r="V4" i="9"/>
  <c r="A2" i="47"/>
  <c r="A2" i="24"/>
  <c r="A2" i="17"/>
  <c r="A2" i="32"/>
  <c r="A2" i="69"/>
  <c r="A2" i="7"/>
  <c r="A2" i="64"/>
  <c r="A2" i="5"/>
  <c r="A2" i="45"/>
  <c r="A2" i="73"/>
  <c r="A2" i="6"/>
  <c r="A2" i="41"/>
  <c r="A2" i="49"/>
  <c r="A2" i="10"/>
  <c r="A2" i="22"/>
  <c r="A2" i="81"/>
  <c r="A2" i="85"/>
  <c r="A2" i="8"/>
  <c r="A2" i="36"/>
  <c r="A2" i="38"/>
  <c r="A2" i="68"/>
  <c r="A2" i="28"/>
  <c r="A2" i="9"/>
  <c r="A2" i="13"/>
  <c r="A2" i="15"/>
  <c r="A2" i="83"/>
  <c r="A55" i="69" l="1"/>
  <c r="A58" i="69"/>
  <c r="A56" i="69"/>
  <c r="A57" i="69"/>
  <c r="A92" i="17"/>
  <c r="A52" i="17"/>
  <c r="A92" i="15"/>
  <c r="A52" i="15"/>
  <c r="A54" i="69"/>
  <c r="A53" i="69"/>
  <c r="A55" i="100"/>
  <c r="A95" i="100"/>
  <c r="A56" i="100"/>
  <c r="A96" i="100"/>
  <c r="A92" i="69"/>
  <c r="A97" i="100"/>
  <c r="A57" i="100"/>
  <c r="A98" i="100"/>
  <c r="A58" i="100"/>
  <c r="A92" i="100"/>
  <c r="A52" i="100"/>
  <c r="A93" i="100"/>
  <c r="A53" i="100"/>
  <c r="A94" i="100"/>
  <c r="A54" i="100"/>
  <c r="V116" i="10"/>
  <c r="V97" i="98" s="1"/>
  <c r="V36" i="10"/>
  <c r="V12" i="98" s="1"/>
  <c r="V76" i="10"/>
  <c r="V57" i="98" s="1"/>
  <c r="A94" i="47"/>
  <c r="A96" i="38"/>
  <c r="A97" i="17"/>
  <c r="A57" i="17"/>
  <c r="A59" i="15"/>
  <c r="A99" i="15"/>
  <c r="A93" i="49"/>
  <c r="A56" i="15"/>
  <c r="A96" i="15"/>
  <c r="A92" i="38"/>
  <c r="A95" i="45"/>
  <c r="A58" i="17"/>
  <c r="A98" i="17"/>
  <c r="A94" i="38"/>
  <c r="A96" i="45"/>
  <c r="A97" i="15"/>
  <c r="A57" i="15"/>
  <c r="A59" i="17"/>
  <c r="A99" i="17"/>
  <c r="A93" i="47"/>
  <c r="A92" i="47"/>
  <c r="A95" i="41"/>
  <c r="A95" i="38"/>
  <c r="A94" i="15"/>
  <c r="A54" i="15"/>
  <c r="A93" i="36"/>
  <c r="A53" i="36"/>
  <c r="A94" i="49"/>
  <c r="A96" i="41"/>
  <c r="A56" i="36"/>
  <c r="A96" i="36"/>
  <c r="A55" i="15"/>
  <c r="A95" i="15"/>
  <c r="A54" i="36"/>
  <c r="A94" i="36"/>
  <c r="A93" i="45"/>
  <c r="A95" i="36"/>
  <c r="A55" i="36"/>
  <c r="A92" i="45"/>
  <c r="A95" i="49"/>
  <c r="A98" i="15"/>
  <c r="A58" i="15"/>
  <c r="A96" i="49"/>
  <c r="A92" i="36"/>
  <c r="A52" i="36"/>
  <c r="A54" i="17"/>
  <c r="A94" i="17"/>
  <c r="A94" i="41"/>
  <c r="A94" i="45"/>
  <c r="A96" i="47"/>
  <c r="A55" i="17"/>
  <c r="A95" i="17"/>
  <c r="A93" i="41"/>
  <c r="A93" i="38"/>
  <c r="A96" i="17"/>
  <c r="A56" i="17"/>
  <c r="A92" i="41"/>
  <c r="A92" i="49"/>
  <c r="A95" i="47"/>
  <c r="A54" i="38"/>
  <c r="A56" i="41"/>
  <c r="A53" i="38"/>
  <c r="A55" i="49"/>
  <c r="A54" i="49"/>
  <c r="A56" i="47"/>
  <c r="A53" i="49"/>
  <c r="A55" i="47"/>
  <c r="A54" i="41"/>
  <c r="A54" i="45"/>
  <c r="A56" i="49"/>
  <c r="A56" i="38"/>
  <c r="A53" i="47"/>
  <c r="A52" i="38"/>
  <c r="A55" i="45"/>
  <c r="A53" i="41"/>
  <c r="A52" i="45"/>
  <c r="A52" i="41"/>
  <c r="A52" i="49"/>
  <c r="A54" i="47"/>
  <c r="A56" i="45"/>
  <c r="A53" i="45"/>
  <c r="A52" i="47"/>
  <c r="A55" i="41"/>
  <c r="A55" i="38"/>
  <c r="D23" i="96"/>
  <c r="D44" i="96"/>
  <c r="D45" i="96"/>
  <c r="D43" i="96"/>
  <c r="D42" i="96"/>
  <c r="D41" i="96"/>
  <c r="D27" i="96"/>
  <c r="D26" i="96"/>
  <c r="D25" i="96"/>
  <c r="D24" i="96"/>
  <c r="D22" i="96"/>
  <c r="D20" i="96"/>
  <c r="D19" i="96"/>
  <c r="D17" i="96"/>
  <c r="D16" i="96"/>
  <c r="D15" i="96"/>
  <c r="D13" i="96"/>
  <c r="D12" i="96"/>
  <c r="D18" i="96"/>
  <c r="D14" i="96"/>
  <c r="D28" i="96"/>
  <c r="D33" i="96"/>
  <c r="D32" i="96"/>
  <c r="D31" i="96"/>
  <c r="D30" i="96"/>
  <c r="D34" i="96"/>
  <c r="A23" i="97" l="1"/>
  <c r="A22" i="97"/>
  <c r="A21" i="97"/>
  <c r="A20" i="97"/>
  <c r="A15" i="97"/>
  <c r="A19" i="97"/>
  <c r="A18" i="97"/>
  <c r="A17" i="97"/>
  <c r="A16" i="97"/>
  <c r="A11" i="97"/>
  <c r="C8" i="97"/>
  <c r="B8" i="97"/>
  <c r="Z116" i="36" l="1"/>
  <c r="Y116" i="36"/>
  <c r="X116" i="36"/>
  <c r="W116" i="36"/>
  <c r="V116" i="36"/>
  <c r="T116" i="36"/>
  <c r="T109" i="98" s="1"/>
  <c r="S116" i="36"/>
  <c r="S109" i="98" s="1"/>
  <c r="R116" i="36"/>
  <c r="R109" i="98" s="1"/>
  <c r="Q116" i="36"/>
  <c r="Q109" i="98" s="1"/>
  <c r="O116" i="36"/>
  <c r="O109" i="98" s="1"/>
  <c r="N116" i="36"/>
  <c r="N109" i="98" s="1"/>
  <c r="M116" i="36"/>
  <c r="M109" i="98" s="1"/>
  <c r="L116" i="36"/>
  <c r="L109" i="98" s="1"/>
  <c r="Z76" i="36"/>
  <c r="Y76" i="36"/>
  <c r="X76" i="36"/>
  <c r="W76" i="36"/>
  <c r="V76" i="36"/>
  <c r="T76" i="36"/>
  <c r="T69" i="98" s="1"/>
  <c r="S76" i="36"/>
  <c r="S69" i="98" s="1"/>
  <c r="R76" i="36"/>
  <c r="R69" i="98" s="1"/>
  <c r="Q76" i="36"/>
  <c r="Q69" i="98" s="1"/>
  <c r="O76" i="36"/>
  <c r="O69" i="98" s="1"/>
  <c r="N76" i="36"/>
  <c r="N69" i="98" s="1"/>
  <c r="M76" i="36"/>
  <c r="M69" i="98" s="1"/>
  <c r="L76" i="36"/>
  <c r="L69" i="98" s="1"/>
  <c r="Z36" i="36"/>
  <c r="Y36" i="36"/>
  <c r="X36" i="36"/>
  <c r="W36" i="36"/>
  <c r="V36" i="36"/>
  <c r="T36" i="36"/>
  <c r="T23" i="98" s="1"/>
  <c r="S36" i="36"/>
  <c r="S23" i="98" s="1"/>
  <c r="R36" i="36"/>
  <c r="R23" i="98" s="1"/>
  <c r="Q36" i="36"/>
  <c r="Q23" i="98" s="1"/>
  <c r="O36" i="36"/>
  <c r="O23" i="98" s="1"/>
  <c r="N36" i="36"/>
  <c r="N23" i="98" s="1"/>
  <c r="M36" i="36"/>
  <c r="M23" i="98" s="1"/>
  <c r="L36" i="36"/>
  <c r="L23" i="98" s="1"/>
  <c r="N36" i="24" l="1"/>
  <c r="M36" i="24"/>
  <c r="L60" i="98"/>
  <c r="M76" i="24"/>
  <c r="M63" i="98" s="1"/>
  <c r="L76" i="24"/>
  <c r="L63" i="98" s="1"/>
  <c r="L76" i="10"/>
  <c r="L57" i="98" s="1"/>
  <c r="L76" i="73"/>
  <c r="L116" i="8"/>
  <c r="L124" i="98" s="1"/>
  <c r="L67" i="98" l="1"/>
  <c r="L65" i="98"/>
  <c r="L66" i="98"/>
  <c r="M38" i="98"/>
  <c r="M18" i="98"/>
  <c r="N38" i="98"/>
  <c r="N18" i="98"/>
  <c r="N76" i="85"/>
  <c r="N73" i="98" s="1"/>
  <c r="L36" i="24"/>
  <c r="M76" i="73"/>
  <c r="L76" i="68"/>
  <c r="L85" i="98" s="1"/>
  <c r="N36" i="85"/>
  <c r="L36" i="73"/>
  <c r="N36" i="68"/>
  <c r="N28" i="98" s="1"/>
  <c r="O76" i="24"/>
  <c r="O36" i="73"/>
  <c r="N76" i="69"/>
  <c r="N72" i="98" s="1"/>
  <c r="L76" i="83"/>
  <c r="L71" i="98" s="1"/>
  <c r="L76" i="81"/>
  <c r="L70" i="98" s="1"/>
  <c r="M76" i="68"/>
  <c r="M85" i="98" s="1"/>
  <c r="O36" i="10"/>
  <c r="M36" i="73"/>
  <c r="N36" i="83"/>
  <c r="N25" i="98" s="1"/>
  <c r="O76" i="81"/>
  <c r="O70" i="98" s="1"/>
  <c r="N60" i="98"/>
  <c r="M76" i="5"/>
  <c r="M80" i="98" s="1"/>
  <c r="N76" i="5"/>
  <c r="N80" i="98" s="1"/>
  <c r="M116" i="5"/>
  <c r="M120" i="98" s="1"/>
  <c r="O116" i="5"/>
  <c r="O120" i="98" s="1"/>
  <c r="L116" i="5"/>
  <c r="L120" i="98" s="1"/>
  <c r="O76" i="69"/>
  <c r="O72" i="98" s="1"/>
  <c r="M76" i="83"/>
  <c r="M71" i="98" s="1"/>
  <c r="L36" i="10"/>
  <c r="L12" i="98" s="1"/>
  <c r="M36" i="10"/>
  <c r="M12" i="98" s="1"/>
  <c r="L76" i="22"/>
  <c r="L62" i="98" s="1"/>
  <c r="N36" i="22"/>
  <c r="N17" i="98" s="1"/>
  <c r="N76" i="10"/>
  <c r="N57" i="98" s="1"/>
  <c r="N36" i="10"/>
  <c r="N12" i="98" s="1"/>
  <c r="O76" i="10"/>
  <c r="M76" i="10"/>
  <c r="M57" i="98" s="1"/>
  <c r="O76" i="68"/>
  <c r="O85" i="98" s="1"/>
  <c r="M36" i="68"/>
  <c r="M28" i="98" s="1"/>
  <c r="N76" i="68"/>
  <c r="N85" i="98" s="1"/>
  <c r="L36" i="68"/>
  <c r="L28" i="98" s="1"/>
  <c r="O36" i="68"/>
  <c r="O28" i="98" s="1"/>
  <c r="O76" i="73"/>
  <c r="N76" i="73"/>
  <c r="N36" i="73"/>
  <c r="N36" i="81"/>
  <c r="N24" i="98" s="1"/>
  <c r="M76" i="81"/>
  <c r="M70" i="98" s="1"/>
  <c r="L36" i="81"/>
  <c r="L24" i="98" s="1"/>
  <c r="O36" i="81"/>
  <c r="O24" i="98" s="1"/>
  <c r="N76" i="81"/>
  <c r="N70" i="98" s="1"/>
  <c r="M36" i="81"/>
  <c r="M24" i="98" s="1"/>
  <c r="O76" i="83"/>
  <c r="O71" i="98" s="1"/>
  <c r="L36" i="83"/>
  <c r="L25" i="98" s="1"/>
  <c r="O36" i="83"/>
  <c r="O25" i="98" s="1"/>
  <c r="M36" i="83"/>
  <c r="M25" i="98" s="1"/>
  <c r="N76" i="83"/>
  <c r="N71" i="98" s="1"/>
  <c r="M76" i="69"/>
  <c r="M72" i="98" s="1"/>
  <c r="M36" i="69"/>
  <c r="M26" i="98" s="1"/>
  <c r="N36" i="69"/>
  <c r="N26" i="98" s="1"/>
  <c r="L76" i="69"/>
  <c r="L72" i="98" s="1"/>
  <c r="L36" i="69"/>
  <c r="L26" i="98" s="1"/>
  <c r="O36" i="69"/>
  <c r="O26" i="98" s="1"/>
  <c r="O76" i="85"/>
  <c r="O73" i="98" s="1"/>
  <c r="L76" i="85"/>
  <c r="L73" i="98" s="1"/>
  <c r="M76" i="85"/>
  <c r="M73" i="98" s="1"/>
  <c r="L36" i="85"/>
  <c r="O36" i="85"/>
  <c r="M36" i="85"/>
  <c r="N116" i="7"/>
  <c r="N122" i="98" s="1"/>
  <c r="M116" i="7"/>
  <c r="M122" i="98" s="1"/>
  <c r="O76" i="7"/>
  <c r="O82" i="98" s="1"/>
  <c r="L76" i="7"/>
  <c r="L82" i="98" s="1"/>
  <c r="O76" i="9"/>
  <c r="O83" i="98" s="1"/>
  <c r="M76" i="9"/>
  <c r="M83" i="98" s="1"/>
  <c r="N76" i="9"/>
  <c r="N83" i="98" s="1"/>
  <c r="L116" i="9"/>
  <c r="L123" i="98" s="1"/>
  <c r="L76" i="9"/>
  <c r="L83" i="98" s="1"/>
  <c r="N116" i="9"/>
  <c r="N123" i="98" s="1"/>
  <c r="M116" i="9"/>
  <c r="M123" i="98" s="1"/>
  <c r="O116" i="9"/>
  <c r="O123" i="98" s="1"/>
  <c r="M76" i="8"/>
  <c r="M84" i="98" s="1"/>
  <c r="N76" i="8"/>
  <c r="N84" i="98" s="1"/>
  <c r="L76" i="8"/>
  <c r="L84" i="98" s="1"/>
  <c r="O76" i="8"/>
  <c r="O84" i="98" s="1"/>
  <c r="N116" i="8"/>
  <c r="N124" i="98" s="1"/>
  <c r="M116" i="8"/>
  <c r="M124" i="98" s="1"/>
  <c r="O116" i="8"/>
  <c r="O124" i="98" s="1"/>
  <c r="M76" i="7"/>
  <c r="M82" i="98" s="1"/>
  <c r="N76" i="7"/>
  <c r="N82" i="98" s="1"/>
  <c r="O116" i="7"/>
  <c r="O122" i="98" s="1"/>
  <c r="L116" i="7"/>
  <c r="L122" i="98" s="1"/>
  <c r="L76" i="5"/>
  <c r="L80" i="98" s="1"/>
  <c r="O76" i="5"/>
  <c r="O80" i="98" s="1"/>
  <c r="N116" i="5"/>
  <c r="N120" i="98" s="1"/>
  <c r="N36" i="32"/>
  <c r="N22" i="98" s="1"/>
  <c r="L76" i="32"/>
  <c r="L68" i="98" s="1"/>
  <c r="N76" i="32"/>
  <c r="N68" i="98" s="1"/>
  <c r="O76" i="32"/>
  <c r="L36" i="32"/>
  <c r="L22" i="98" s="1"/>
  <c r="O36" i="32"/>
  <c r="O22" i="98" s="1"/>
  <c r="M76" i="32"/>
  <c r="M68" i="98" s="1"/>
  <c r="M36" i="32"/>
  <c r="M22" i="98" s="1"/>
  <c r="M76" i="28"/>
  <c r="M64" i="98" s="1"/>
  <c r="M36" i="28"/>
  <c r="M19" i="98" s="1"/>
  <c r="N36" i="28"/>
  <c r="N19" i="98" s="1"/>
  <c r="N76" i="28"/>
  <c r="N64" i="98" s="1"/>
  <c r="O76" i="28"/>
  <c r="L76" i="28"/>
  <c r="L64" i="98" s="1"/>
  <c r="L36" i="28"/>
  <c r="L19" i="98" s="1"/>
  <c r="O36" i="28"/>
  <c r="M36" i="22"/>
  <c r="M17" i="98" s="1"/>
  <c r="O76" i="22"/>
  <c r="M76" i="22"/>
  <c r="M62" i="98" s="1"/>
  <c r="N76" i="22"/>
  <c r="N62" i="98" s="1"/>
  <c r="L36" i="22"/>
  <c r="L17" i="98" s="1"/>
  <c r="O36" i="22"/>
  <c r="O17" i="98" s="1"/>
  <c r="N61" i="98"/>
  <c r="M61" i="98"/>
  <c r="O61" i="98"/>
  <c r="L61" i="98"/>
  <c r="L15" i="98"/>
  <c r="O15" i="98"/>
  <c r="M60" i="98"/>
  <c r="M15" i="98"/>
  <c r="N15" i="98"/>
  <c r="O60" i="98"/>
  <c r="N76" i="24"/>
  <c r="N63" i="98" s="1"/>
  <c r="O36" i="24"/>
  <c r="M76" i="13"/>
  <c r="M59" i="98" s="1"/>
  <c r="O36" i="13"/>
  <c r="M36" i="13"/>
  <c r="L36" i="13"/>
  <c r="O76" i="13"/>
  <c r="O59" i="98" s="1"/>
  <c r="N36" i="13"/>
  <c r="N76" i="13"/>
  <c r="N59" i="98" s="1"/>
  <c r="L76" i="13"/>
  <c r="L59" i="98" s="1"/>
  <c r="N39" i="98" l="1"/>
  <c r="N27" i="98"/>
  <c r="M39" i="98"/>
  <c r="M27" i="98"/>
  <c r="O39" i="98"/>
  <c r="O27" i="98"/>
  <c r="L39" i="98"/>
  <c r="L27" i="98"/>
  <c r="N21" i="98"/>
  <c r="N20" i="98"/>
  <c r="O38" i="98"/>
  <c r="P18" i="24"/>
  <c r="P14" i="24"/>
  <c r="P13" i="24"/>
  <c r="P16" i="24"/>
  <c r="P17" i="24"/>
  <c r="P12" i="24"/>
  <c r="P15" i="24"/>
  <c r="O18" i="98"/>
  <c r="O57" i="98"/>
  <c r="P61" i="10"/>
  <c r="M14" i="98"/>
  <c r="M35" i="98"/>
  <c r="P57" i="28"/>
  <c r="P53" i="28"/>
  <c r="P56" i="28"/>
  <c r="P52" i="28"/>
  <c r="P55" i="28"/>
  <c r="P54" i="28"/>
  <c r="O64" i="98"/>
  <c r="O67" i="98"/>
  <c r="O65" i="98"/>
  <c r="O66" i="98"/>
  <c r="M20" i="98"/>
  <c r="M21" i="98"/>
  <c r="M65" i="98"/>
  <c r="M66" i="98"/>
  <c r="M67" i="98"/>
  <c r="O20" i="98"/>
  <c r="O21" i="98"/>
  <c r="L14" i="98"/>
  <c r="L35" i="98"/>
  <c r="P53" i="22"/>
  <c r="O62" i="98"/>
  <c r="N66" i="98"/>
  <c r="N67" i="98"/>
  <c r="N65" i="98"/>
  <c r="P55" i="24"/>
  <c r="P54" i="24"/>
  <c r="P57" i="24"/>
  <c r="P56" i="24"/>
  <c r="P58" i="24"/>
  <c r="P53" i="24"/>
  <c r="P52" i="24"/>
  <c r="O63" i="98"/>
  <c r="N14" i="98"/>
  <c r="N35" i="98"/>
  <c r="O14" i="98"/>
  <c r="O35" i="98"/>
  <c r="P15" i="28"/>
  <c r="P17" i="28"/>
  <c r="P12" i="28"/>
  <c r="P14" i="28"/>
  <c r="P13" i="28"/>
  <c r="P16" i="28"/>
  <c r="O19" i="98"/>
  <c r="P54" i="32"/>
  <c r="O68" i="98"/>
  <c r="L20" i="98"/>
  <c r="L21" i="98"/>
  <c r="L38" i="98"/>
  <c r="L18" i="98"/>
  <c r="O37" i="98"/>
  <c r="O16" i="98"/>
  <c r="L37" i="98"/>
  <c r="L16" i="98"/>
  <c r="N37" i="98"/>
  <c r="N16" i="98"/>
  <c r="M37" i="98"/>
  <c r="M16" i="98"/>
  <c r="O12" i="98"/>
  <c r="P21" i="10"/>
  <c r="P13" i="22"/>
  <c r="P55" i="81"/>
  <c r="P54" i="81"/>
  <c r="P58" i="69"/>
  <c r="P58" i="83"/>
  <c r="P52" i="73"/>
  <c r="P56" i="69"/>
  <c r="P92" i="8"/>
  <c r="P95" i="7"/>
  <c r="P58" i="7"/>
  <c r="P57" i="22"/>
  <c r="P93" i="8"/>
  <c r="P58" i="15"/>
  <c r="P57" i="69"/>
  <c r="P52" i="69"/>
  <c r="P94" i="9"/>
  <c r="P52" i="8"/>
  <c r="P93" i="9"/>
  <c r="P56" i="15"/>
  <c r="P57" i="73"/>
  <c r="P53" i="69"/>
  <c r="P94" i="5"/>
  <c r="P92" i="7"/>
  <c r="P54" i="15"/>
  <c r="P56" i="73"/>
  <c r="P56" i="17"/>
  <c r="P52" i="5"/>
  <c r="P55" i="17"/>
  <c r="P56" i="22"/>
  <c r="P52" i="32"/>
  <c r="P56" i="32"/>
  <c r="P53" i="85"/>
  <c r="P57" i="13"/>
  <c r="P57" i="68"/>
  <c r="P65" i="10"/>
  <c r="P60" i="10"/>
  <c r="P55" i="10"/>
  <c r="P56" i="10"/>
  <c r="P52" i="68"/>
  <c r="P54" i="85"/>
  <c r="P52" i="9"/>
  <c r="P58" i="68"/>
  <c r="P54" i="73"/>
  <c r="P55" i="32"/>
  <c r="P57" i="81"/>
  <c r="P57" i="83"/>
  <c r="P92" i="9"/>
  <c r="P92" i="5"/>
  <c r="P93" i="7"/>
  <c r="P57" i="9"/>
  <c r="P56" i="7"/>
  <c r="P54" i="17"/>
  <c r="P52" i="81"/>
  <c r="P56" i="85"/>
  <c r="P56" i="9"/>
  <c r="P55" i="7"/>
  <c r="P55" i="13"/>
  <c r="P59" i="15"/>
  <c r="P55" i="15"/>
  <c r="P55" i="68"/>
  <c r="P64" i="10"/>
  <c r="P59" i="10"/>
  <c r="P54" i="10"/>
  <c r="P52" i="22"/>
  <c r="P53" i="73"/>
  <c r="P96" i="7"/>
  <c r="P58" i="13"/>
  <c r="P55" i="73"/>
  <c r="P56" i="83"/>
  <c r="P55" i="69"/>
  <c r="P52" i="85"/>
  <c r="P54" i="5"/>
  <c r="P56" i="68"/>
  <c r="P55" i="83"/>
  <c r="P57" i="85"/>
  <c r="P55" i="9"/>
  <c r="P54" i="7"/>
  <c r="P59" i="17"/>
  <c r="P93" i="5"/>
  <c r="P53" i="8"/>
  <c r="P54" i="13"/>
  <c r="P53" i="68"/>
  <c r="P63" i="10"/>
  <c r="P58" i="10"/>
  <c r="P53" i="10"/>
  <c r="P58" i="85"/>
  <c r="P54" i="9"/>
  <c r="P56" i="13"/>
  <c r="P57" i="17"/>
  <c r="P54" i="83"/>
  <c r="P53" i="7"/>
  <c r="P58" i="73"/>
  <c r="P57" i="32"/>
  <c r="P53" i="32"/>
  <c r="P53" i="81"/>
  <c r="P53" i="83"/>
  <c r="P54" i="69"/>
  <c r="P55" i="85"/>
  <c r="P96" i="9"/>
  <c r="P97" i="7"/>
  <c r="P53" i="9"/>
  <c r="P53" i="5"/>
  <c r="P52" i="7"/>
  <c r="P58" i="17"/>
  <c r="P54" i="22"/>
  <c r="P56" i="81"/>
  <c r="P97" i="9"/>
  <c r="P98" i="7"/>
  <c r="P54" i="68"/>
  <c r="P52" i="13"/>
  <c r="P57" i="15"/>
  <c r="P62" i="10"/>
  <c r="P57" i="10"/>
  <c r="P52" i="10"/>
  <c r="P95" i="9"/>
  <c r="P57" i="7"/>
  <c r="P53" i="13"/>
  <c r="P55" i="22"/>
  <c r="P52" i="83"/>
  <c r="P94" i="7"/>
  <c r="M116" i="6"/>
  <c r="M121" i="98" s="1"/>
  <c r="O116" i="6"/>
  <c r="O121" i="98" s="1"/>
  <c r="L76" i="6"/>
  <c r="L81" i="98" s="1"/>
  <c r="O76" i="6"/>
  <c r="O81" i="98" s="1"/>
  <c r="M76" i="6"/>
  <c r="M81" i="98" s="1"/>
  <c r="L116" i="6"/>
  <c r="L121" i="98" s="1"/>
  <c r="N76" i="6"/>
  <c r="N81" i="98" s="1"/>
  <c r="N116" i="6"/>
  <c r="N121" i="98" s="1"/>
  <c r="M36" i="38"/>
  <c r="M30" i="98" s="1"/>
  <c r="L36" i="49"/>
  <c r="L33" i="98" s="1"/>
  <c r="L36" i="45"/>
  <c r="L31" i="98" s="1"/>
  <c r="M36" i="45"/>
  <c r="M31" i="98" s="1"/>
  <c r="N36" i="38"/>
  <c r="N30" i="98" s="1"/>
  <c r="N36" i="47"/>
  <c r="N32" i="98" s="1"/>
  <c r="L36" i="38"/>
  <c r="L30" i="98" s="1"/>
  <c r="L36" i="47"/>
  <c r="L32" i="98" s="1"/>
  <c r="O36" i="45"/>
  <c r="O31" i="98" s="1"/>
  <c r="M36" i="47"/>
  <c r="M32" i="98" s="1"/>
  <c r="N36" i="45"/>
  <c r="N31" i="98" s="1"/>
  <c r="O36" i="47"/>
  <c r="O32" i="98" s="1"/>
  <c r="O36" i="38"/>
  <c r="O30" i="98" s="1"/>
  <c r="N36" i="49"/>
  <c r="N33" i="98" s="1"/>
  <c r="O36" i="49"/>
  <c r="O33" i="98" s="1"/>
  <c r="M36" i="49"/>
  <c r="M33" i="98" s="1"/>
  <c r="P76" i="17" l="1"/>
  <c r="P76" i="15"/>
  <c r="P54" i="6"/>
  <c r="P56" i="6"/>
  <c r="P52" i="6"/>
  <c r="P55" i="6"/>
  <c r="P57" i="6"/>
  <c r="P16" i="45"/>
  <c r="P15" i="49"/>
  <c r="P94" i="6"/>
  <c r="P95" i="6"/>
  <c r="P96" i="6"/>
  <c r="P97" i="6"/>
  <c r="P92" i="6"/>
  <c r="P15" i="45"/>
  <c r="P13" i="45"/>
  <c r="P14" i="45"/>
  <c r="P13" i="47"/>
  <c r="P12" i="49"/>
  <c r="P15" i="38"/>
  <c r="O36" i="41"/>
  <c r="N36" i="41"/>
  <c r="P16" i="47"/>
  <c r="P12" i="45"/>
  <c r="P14" i="47"/>
  <c r="P15" i="47"/>
  <c r="P13" i="38"/>
  <c r="P12" i="38"/>
  <c r="L36" i="41"/>
  <c r="M36" i="41"/>
  <c r="P16" i="38"/>
  <c r="P12" i="47"/>
  <c r="P14" i="38"/>
  <c r="P13" i="49"/>
  <c r="P16" i="49"/>
  <c r="P14" i="49"/>
  <c r="N40" i="98" l="1"/>
  <c r="N34" i="98"/>
  <c r="M40" i="98"/>
  <c r="M34" i="98"/>
  <c r="L40" i="98"/>
  <c r="L34" i="98"/>
  <c r="O40" i="98"/>
  <c r="O34" i="98"/>
  <c r="P13" i="41"/>
  <c r="P16" i="41"/>
  <c r="P12" i="41"/>
  <c r="P14" i="41"/>
  <c r="P15" i="41"/>
  <c r="P36" i="41" l="1"/>
  <c r="P40" i="98" l="1"/>
  <c r="P34" i="98"/>
  <c r="N116" i="10"/>
  <c r="N97" i="98" s="1"/>
  <c r="M116" i="10"/>
  <c r="M97" i="98" s="1"/>
  <c r="L116" i="10"/>
  <c r="L97" i="98" s="1"/>
  <c r="O116" i="10"/>
  <c r="N116" i="68"/>
  <c r="N125" i="98" s="1"/>
  <c r="M116" i="68"/>
  <c r="M125" i="98" s="1"/>
  <c r="L116" i="68"/>
  <c r="L125" i="98" s="1"/>
  <c r="O116" i="68"/>
  <c r="O125" i="98" s="1"/>
  <c r="O116" i="73"/>
  <c r="M116" i="73"/>
  <c r="L116" i="73"/>
  <c r="N116" i="73"/>
  <c r="M116" i="81"/>
  <c r="M110" i="98" s="1"/>
  <c r="N116" i="81"/>
  <c r="N110" i="98" s="1"/>
  <c r="L116" i="81"/>
  <c r="L110" i="98" s="1"/>
  <c r="O116" i="81"/>
  <c r="O110" i="98" s="1"/>
  <c r="M116" i="83"/>
  <c r="M111" i="98" s="1"/>
  <c r="L116" i="83"/>
  <c r="L111" i="98" s="1"/>
  <c r="O116" i="83"/>
  <c r="O111" i="98" s="1"/>
  <c r="N116" i="83"/>
  <c r="N111" i="98" s="1"/>
  <c r="M116" i="69"/>
  <c r="M112" i="98" s="1"/>
  <c r="L116" i="69"/>
  <c r="L112" i="98" s="1"/>
  <c r="O116" i="69"/>
  <c r="O112" i="98" s="1"/>
  <c r="N116" i="69"/>
  <c r="N112" i="98" s="1"/>
  <c r="L116" i="85"/>
  <c r="L113" i="98" s="1"/>
  <c r="M116" i="85"/>
  <c r="M113" i="98" s="1"/>
  <c r="N116" i="85"/>
  <c r="N113" i="98" s="1"/>
  <c r="O116" i="85"/>
  <c r="O113" i="98" s="1"/>
  <c r="M116" i="32"/>
  <c r="M108" i="98" s="1"/>
  <c r="L116" i="32"/>
  <c r="L108" i="98" s="1"/>
  <c r="O116" i="32"/>
  <c r="O108" i="98" s="1"/>
  <c r="N116" i="32"/>
  <c r="N108" i="98" s="1"/>
  <c r="M116" i="28"/>
  <c r="M104" i="98" s="1"/>
  <c r="N116" i="28"/>
  <c r="N104" i="98" s="1"/>
  <c r="L116" i="28"/>
  <c r="L104" i="98" s="1"/>
  <c r="O116" i="28"/>
  <c r="N116" i="22"/>
  <c r="N102" i="98" s="1"/>
  <c r="M116" i="22"/>
  <c r="M102" i="98" s="1"/>
  <c r="L116" i="22"/>
  <c r="L102" i="98" s="1"/>
  <c r="O116" i="22"/>
  <c r="M101" i="98"/>
  <c r="L101" i="98"/>
  <c r="O101" i="98"/>
  <c r="N101" i="98"/>
  <c r="O100" i="98"/>
  <c r="N100" i="98"/>
  <c r="M100" i="98"/>
  <c r="L100" i="98"/>
  <c r="N76" i="64"/>
  <c r="N58" i="98" s="1"/>
  <c r="M116" i="64"/>
  <c r="M98" i="98" s="1"/>
  <c r="L116" i="64"/>
  <c r="L98" i="98" s="1"/>
  <c r="M76" i="64"/>
  <c r="M58" i="98" s="1"/>
  <c r="L76" i="64"/>
  <c r="L58" i="98" s="1"/>
  <c r="O116" i="64"/>
  <c r="O98" i="98" s="1"/>
  <c r="O76" i="64"/>
  <c r="O58" i="98" s="1"/>
  <c r="N116" i="64"/>
  <c r="N98" i="98" s="1"/>
  <c r="N116" i="24"/>
  <c r="N103" i="98" s="1"/>
  <c r="M116" i="24"/>
  <c r="M103" i="98" s="1"/>
  <c r="L116" i="24"/>
  <c r="L103" i="98" s="1"/>
  <c r="O116" i="24"/>
  <c r="O116" i="13"/>
  <c r="O99" i="98" s="1"/>
  <c r="N116" i="13"/>
  <c r="N99" i="98" s="1"/>
  <c r="M116" i="13"/>
  <c r="M99" i="98" s="1"/>
  <c r="L116" i="13"/>
  <c r="L99" i="98" s="1"/>
  <c r="M116" i="41"/>
  <c r="M118" i="98" s="1"/>
  <c r="L116" i="41"/>
  <c r="L118" i="98" s="1"/>
  <c r="O116" i="38"/>
  <c r="O114" i="98" s="1"/>
  <c r="N116" i="47"/>
  <c r="N116" i="98" s="1"/>
  <c r="N116" i="41"/>
  <c r="N118" i="98" s="1"/>
  <c r="L116" i="38"/>
  <c r="L114" i="98" s="1"/>
  <c r="O116" i="45"/>
  <c r="O115" i="98" s="1"/>
  <c r="O116" i="41"/>
  <c r="O118" i="98" s="1"/>
  <c r="N116" i="45"/>
  <c r="N115" i="98" s="1"/>
  <c r="M116" i="47"/>
  <c r="M116" i="98" s="1"/>
  <c r="L116" i="47"/>
  <c r="L116" i="98" s="1"/>
  <c r="M116" i="38"/>
  <c r="M114" i="98" s="1"/>
  <c r="N116" i="38"/>
  <c r="N114" i="98" s="1"/>
  <c r="M116" i="45"/>
  <c r="M115" i="98" s="1"/>
  <c r="L116" i="45"/>
  <c r="L115" i="98" s="1"/>
  <c r="O116" i="47"/>
  <c r="O116" i="98" s="1"/>
  <c r="O116" i="49"/>
  <c r="O117" i="98" s="1"/>
  <c r="N116" i="49"/>
  <c r="N117" i="98" s="1"/>
  <c r="M116" i="49"/>
  <c r="M117" i="98" s="1"/>
  <c r="L116" i="49"/>
  <c r="L117" i="98" s="1"/>
  <c r="P93" i="22" l="1"/>
  <c r="O102" i="98"/>
  <c r="P95" i="28"/>
  <c r="P97" i="28"/>
  <c r="P92" i="28"/>
  <c r="P94" i="28"/>
  <c r="P93" i="28"/>
  <c r="P96" i="28"/>
  <c r="O104" i="98"/>
  <c r="N105" i="98"/>
  <c r="N107" i="98"/>
  <c r="N106" i="98"/>
  <c r="O97" i="98"/>
  <c r="P101" i="10"/>
  <c r="L106" i="98"/>
  <c r="L105" i="98"/>
  <c r="L107" i="98"/>
  <c r="P96" i="24"/>
  <c r="P92" i="24"/>
  <c r="P95" i="24"/>
  <c r="P94" i="24"/>
  <c r="P97" i="24"/>
  <c r="P98" i="24"/>
  <c r="P93" i="24"/>
  <c r="O103" i="98"/>
  <c r="M106" i="98"/>
  <c r="M105" i="98"/>
  <c r="M107" i="98"/>
  <c r="O107" i="98"/>
  <c r="O106" i="98"/>
  <c r="O105" i="98"/>
  <c r="P95" i="69"/>
  <c r="P96" i="32"/>
  <c r="P97" i="17"/>
  <c r="P94" i="15"/>
  <c r="P92" i="47"/>
  <c r="P92" i="45"/>
  <c r="P93" i="38"/>
  <c r="P94" i="68"/>
  <c r="P94" i="22"/>
  <c r="P94" i="13"/>
  <c r="P95" i="17"/>
  <c r="P95" i="85"/>
  <c r="P93" i="85"/>
  <c r="P98" i="85"/>
  <c r="P104" i="10"/>
  <c r="P95" i="10"/>
  <c r="P95" i="22"/>
  <c r="P94" i="10"/>
  <c r="P93" i="10"/>
  <c r="P98" i="73"/>
  <c r="P100" i="10"/>
  <c r="P105" i="10"/>
  <c r="P102" i="10"/>
  <c r="P98" i="10"/>
  <c r="P97" i="10"/>
  <c r="P103" i="10"/>
  <c r="P95" i="13"/>
  <c r="P96" i="10"/>
  <c r="P92" i="22"/>
  <c r="P92" i="10"/>
  <c r="P99" i="10"/>
  <c r="P94" i="73"/>
  <c r="P97" i="22"/>
  <c r="P96" i="73"/>
  <c r="P96" i="22"/>
  <c r="P97" i="85"/>
  <c r="P94" i="85"/>
  <c r="P92" i="85"/>
  <c r="P97" i="73"/>
  <c r="P92" i="73"/>
  <c r="P93" i="73"/>
  <c r="P95" i="32"/>
  <c r="P93" i="32"/>
  <c r="P99" i="17"/>
  <c r="P96" i="17"/>
  <c r="P98" i="17"/>
  <c r="P94" i="17"/>
  <c r="P99" i="15"/>
  <c r="P95" i="15"/>
  <c r="P94" i="32"/>
  <c r="P92" i="83"/>
  <c r="P92" i="32"/>
  <c r="P97" i="32"/>
  <c r="P96" i="83"/>
  <c r="P96" i="85"/>
  <c r="P94" i="81"/>
  <c r="P92" i="81"/>
  <c r="P95" i="73"/>
  <c r="P53" i="64"/>
  <c r="P54" i="64"/>
  <c r="P52" i="64"/>
  <c r="P94" i="64"/>
  <c r="P92" i="64"/>
  <c r="P93" i="64"/>
  <c r="P92" i="13"/>
  <c r="P93" i="13"/>
  <c r="P98" i="13"/>
  <c r="P93" i="47"/>
  <c r="P97" i="13"/>
  <c r="P96" i="49"/>
  <c r="P93" i="49"/>
  <c r="P98" i="68"/>
  <c r="P92" i="41"/>
  <c r="P96" i="45"/>
  <c r="P92" i="68"/>
  <c r="P95" i="68"/>
  <c r="P94" i="41"/>
  <c r="P93" i="41"/>
  <c r="P96" i="41"/>
  <c r="P93" i="45"/>
  <c r="P96" i="13"/>
  <c r="P97" i="68"/>
  <c r="P93" i="68"/>
  <c r="P96" i="68"/>
  <c r="P94" i="49"/>
  <c r="P95" i="49"/>
  <c r="P92" i="49"/>
  <c r="P94" i="47"/>
  <c r="P95" i="47"/>
  <c r="P96" i="47"/>
  <c r="P95" i="45"/>
  <c r="P94" i="45"/>
  <c r="P96" i="38"/>
  <c r="P94" i="38"/>
  <c r="P95" i="38"/>
  <c r="P92" i="38"/>
  <c r="P95" i="41"/>
  <c r="P94" i="69"/>
  <c r="P98" i="69"/>
  <c r="P93" i="69"/>
  <c r="P97" i="69"/>
  <c r="P92" i="69"/>
  <c r="P96" i="69"/>
  <c r="P95" i="83"/>
  <c r="P93" i="83"/>
  <c r="P97" i="83"/>
  <c r="P94" i="83"/>
  <c r="P98" i="83"/>
  <c r="P93" i="81"/>
  <c r="P97" i="81"/>
  <c r="P95" i="81"/>
  <c r="P96" i="81"/>
  <c r="P96" i="15"/>
  <c r="P97" i="15"/>
  <c r="P98" i="15"/>
  <c r="P116" i="15" l="1"/>
  <c r="P100" i="98" s="1"/>
  <c r="P116" i="17"/>
  <c r="P101" i="98" s="1"/>
  <c r="P116" i="64"/>
  <c r="P98" i="98" s="1"/>
  <c r="P76" i="64"/>
  <c r="P58" i="98" s="1"/>
  <c r="P116" i="13"/>
  <c r="P99" i="98" s="1"/>
  <c r="P116" i="68"/>
  <c r="P125" i="98" s="1"/>
  <c r="P116" i="81"/>
  <c r="P110" i="98" s="1"/>
  <c r="P116" i="32"/>
  <c r="P108" i="98" s="1"/>
  <c r="P116" i="83"/>
  <c r="P111" i="98" s="1"/>
  <c r="P116" i="28"/>
  <c r="P104" i="98" s="1"/>
  <c r="P116" i="22"/>
  <c r="P102" i="98" s="1"/>
  <c r="P116" i="69"/>
  <c r="P112" i="98" s="1"/>
  <c r="P116" i="85"/>
  <c r="P113" i="98" s="1"/>
  <c r="P116" i="10"/>
  <c r="P97" i="98" s="1"/>
  <c r="P116" i="73"/>
  <c r="P116" i="24"/>
  <c r="P103" i="98" s="1"/>
  <c r="P116" i="47"/>
  <c r="P116" i="98" s="1"/>
  <c r="P116" i="38"/>
  <c r="P114" i="98" s="1"/>
  <c r="P116" i="45"/>
  <c r="P115" i="98" s="1"/>
  <c r="P116" i="41"/>
  <c r="P118" i="98" s="1"/>
  <c r="P116" i="49"/>
  <c r="P117" i="98" s="1"/>
  <c r="P106" i="98" l="1"/>
  <c r="P105" i="98"/>
  <c r="P107" i="98"/>
  <c r="P14" i="83"/>
  <c r="P18" i="83"/>
  <c r="P12" i="83"/>
  <c r="P13" i="83"/>
  <c r="P17" i="83"/>
  <c r="P15" i="83"/>
  <c r="P16" i="83"/>
  <c r="P12" i="81"/>
  <c r="P16" i="81"/>
  <c r="P16" i="85"/>
  <c r="P18" i="85"/>
  <c r="P14" i="85"/>
  <c r="P12" i="85"/>
  <c r="P15" i="85"/>
  <c r="P13" i="85"/>
  <c r="P17" i="85"/>
  <c r="P17" i="81"/>
  <c r="P13" i="81"/>
  <c r="P14" i="81"/>
  <c r="P15" i="81"/>
  <c r="P76" i="81" l="1"/>
  <c r="P70" i="98" s="1"/>
  <c r="P76" i="83"/>
  <c r="P71" i="98" s="1"/>
  <c r="P76" i="85"/>
  <c r="P73" i="98" s="1"/>
  <c r="P36" i="85"/>
  <c r="P36" i="81"/>
  <c r="P24" i="98" s="1"/>
  <c r="P36" i="83"/>
  <c r="P25" i="98" s="1"/>
  <c r="P39" i="98" l="1"/>
  <c r="P27" i="98"/>
  <c r="P16" i="69"/>
  <c r="P15" i="68"/>
  <c r="P14" i="68"/>
  <c r="P12" i="68"/>
  <c r="P13" i="69"/>
  <c r="P16" i="68"/>
  <c r="P12" i="73"/>
  <c r="P18" i="73"/>
  <c r="P17" i="68"/>
  <c r="P13" i="68"/>
  <c r="P18" i="69"/>
  <c r="P15" i="69"/>
  <c r="P14" i="69"/>
  <c r="P12" i="69"/>
  <c r="P17" i="69"/>
  <c r="P15" i="73"/>
  <c r="P17" i="73"/>
  <c r="P16" i="73"/>
  <c r="P14" i="73"/>
  <c r="P13" i="73"/>
  <c r="P18" i="68"/>
  <c r="P76" i="68" l="1"/>
  <c r="P85" i="98" s="1"/>
  <c r="P76" i="73"/>
  <c r="P76" i="69"/>
  <c r="P72" i="98" s="1"/>
  <c r="P36" i="68"/>
  <c r="P28" i="98" s="1"/>
  <c r="P36" i="69"/>
  <c r="P26" i="98" s="1"/>
  <c r="P36" i="73"/>
  <c r="P20" i="98" l="1"/>
  <c r="P21" i="98"/>
  <c r="P67" i="98"/>
  <c r="P65" i="98"/>
  <c r="P66" i="98"/>
  <c r="N36" i="64"/>
  <c r="N13" i="98" s="1"/>
  <c r="M36" i="64"/>
  <c r="M13" i="98" s="1"/>
  <c r="O36" i="64"/>
  <c r="O13" i="98" s="1"/>
  <c r="L36" i="64"/>
  <c r="L13" i="98" s="1"/>
  <c r="P12" i="64" l="1"/>
  <c r="P13" i="64"/>
  <c r="P14" i="64"/>
  <c r="P36" i="64" l="1"/>
  <c r="P13" i="98" s="1"/>
  <c r="U116" i="36" l="1"/>
  <c r="U109" i="98" s="1"/>
  <c r="U36" i="36"/>
  <c r="U23" i="98" s="1"/>
  <c r="U76" i="36"/>
  <c r="U69" i="98" s="1"/>
  <c r="M36" i="7" l="1"/>
  <c r="M43" i="98" s="1"/>
  <c r="M36" i="9"/>
  <c r="M44" i="98" s="1"/>
  <c r="M36" i="5"/>
  <c r="M41" i="98" s="1"/>
  <c r="O36" i="8"/>
  <c r="O45" i="98" s="1"/>
  <c r="L36" i="5"/>
  <c r="L41" i="98" s="1"/>
  <c r="N36" i="5"/>
  <c r="N41" i="98" s="1"/>
  <c r="L36" i="8"/>
  <c r="L45" i="98" s="1"/>
  <c r="N36" i="8"/>
  <c r="N45" i="98" s="1"/>
  <c r="P36" i="36"/>
  <c r="P23" i="98" s="1"/>
  <c r="P116" i="36"/>
  <c r="P109" i="98" s="1"/>
  <c r="P76" i="36"/>
  <c r="P69" i="98" s="1"/>
  <c r="L36" i="7"/>
  <c r="L43" i="98" s="1"/>
  <c r="N36" i="7"/>
  <c r="N43" i="98" s="1"/>
  <c r="O36" i="7"/>
  <c r="O43" i="98" s="1"/>
  <c r="L36" i="9"/>
  <c r="L44" i="98" s="1"/>
  <c r="N36" i="9"/>
  <c r="N44" i="98" s="1"/>
  <c r="O36" i="9"/>
  <c r="O44" i="98" s="1"/>
  <c r="M36" i="8"/>
  <c r="M45" i="98" s="1"/>
  <c r="O36" i="5"/>
  <c r="O41" i="98" s="1"/>
  <c r="L76" i="49"/>
  <c r="L77" i="98" s="1"/>
  <c r="N76" i="49"/>
  <c r="N77" i="98" s="1"/>
  <c r="M76" i="47"/>
  <c r="M76" i="98" s="1"/>
  <c r="O76" i="45"/>
  <c r="O75" i="98" s="1"/>
  <c r="L76" i="41"/>
  <c r="L78" i="98" s="1"/>
  <c r="N76" i="41"/>
  <c r="N78" i="98" s="1"/>
  <c r="N76" i="47"/>
  <c r="N76" i="98" s="1"/>
  <c r="M76" i="45"/>
  <c r="M75" i="98" s="1"/>
  <c r="O76" i="38"/>
  <c r="O74" i="98" s="1"/>
  <c r="L76" i="47"/>
  <c r="L76" i="98" s="1"/>
  <c r="L76" i="45"/>
  <c r="L75" i="98" s="1"/>
  <c r="N76" i="45"/>
  <c r="N75" i="98" s="1"/>
  <c r="M76" i="38"/>
  <c r="M74" i="98" s="1"/>
  <c r="O76" i="41"/>
  <c r="O78" i="98" s="1"/>
  <c r="O76" i="47"/>
  <c r="O76" i="98" s="1"/>
  <c r="L76" i="38"/>
  <c r="L74" i="98" s="1"/>
  <c r="N76" i="38"/>
  <c r="N74" i="98" s="1"/>
  <c r="M76" i="41"/>
  <c r="M78" i="98" s="1"/>
  <c r="O76" i="49"/>
  <c r="O77" i="98" s="1"/>
  <c r="M76" i="49"/>
  <c r="M77" i="98" s="1"/>
  <c r="O36" i="6"/>
  <c r="O42" i="98" s="1"/>
  <c r="L36" i="6"/>
  <c r="L42" i="98" s="1"/>
  <c r="N36" i="6"/>
  <c r="N42" i="98" s="1"/>
  <c r="M36" i="6"/>
  <c r="M42" i="98" s="1"/>
  <c r="P76" i="5" l="1"/>
  <c r="P80" i="98" s="1"/>
  <c r="P116" i="5"/>
  <c r="P120" i="98" s="1"/>
  <c r="P76" i="8"/>
  <c r="P84" i="98" s="1"/>
  <c r="P116" i="8"/>
  <c r="P124" i="98" s="1"/>
  <c r="P60" i="98"/>
  <c r="P76" i="24"/>
  <c r="P63" i="98" s="1"/>
  <c r="P22" i="10"/>
  <c r="P17" i="32"/>
  <c r="P53" i="41"/>
  <c r="P56" i="41"/>
  <c r="P52" i="41"/>
  <c r="P55" i="41"/>
  <c r="P54" i="41"/>
  <c r="P12" i="32"/>
  <c r="P14" i="32"/>
  <c r="P13" i="32"/>
  <c r="P15" i="32"/>
  <c r="P16" i="32"/>
  <c r="P16" i="15"/>
  <c r="P15" i="15"/>
  <c r="P53" i="45"/>
  <c r="P55" i="49"/>
  <c r="P17" i="15"/>
  <c r="P55" i="38"/>
  <c r="P53" i="47"/>
  <c r="P18" i="15"/>
  <c r="P19" i="15"/>
  <c r="P18" i="7"/>
  <c r="P24" i="10"/>
  <c r="P15" i="7"/>
  <c r="P18" i="10"/>
  <c r="P20" i="10"/>
  <c r="P12" i="7"/>
  <c r="P19" i="17"/>
  <c r="P17" i="13"/>
  <c r="P14" i="13"/>
  <c r="P13" i="8"/>
  <c r="P14" i="10"/>
  <c r="P13" i="7"/>
  <c r="P19" i="10"/>
  <c r="P14" i="7"/>
  <c r="P12" i="10"/>
  <c r="P12" i="9"/>
  <c r="P16" i="9"/>
  <c r="P16" i="17"/>
  <c r="P15" i="9"/>
  <c r="P14" i="5"/>
  <c r="P12" i="8"/>
  <c r="P13" i="10"/>
  <c r="P17" i="9"/>
  <c r="P12" i="5"/>
  <c r="P17" i="7"/>
  <c r="P17" i="10"/>
  <c r="P16" i="10"/>
  <c r="P25" i="10"/>
  <c r="P14" i="9"/>
  <c r="P13" i="5"/>
  <c r="P23" i="10"/>
  <c r="P16" i="7"/>
  <c r="P13" i="9"/>
  <c r="P15" i="10"/>
  <c r="P12" i="22"/>
  <c r="P13" i="13"/>
  <c r="P16" i="13"/>
  <c r="P15" i="17"/>
  <c r="P18" i="17"/>
  <c r="P17" i="22"/>
  <c r="P12" i="13"/>
  <c r="P15" i="13"/>
  <c r="P14" i="22"/>
  <c r="P16" i="22"/>
  <c r="P15" i="22"/>
  <c r="P18" i="13"/>
  <c r="P17" i="17"/>
  <c r="P52" i="38"/>
  <c r="P55" i="47"/>
  <c r="P54" i="47"/>
  <c r="P56" i="47"/>
  <c r="P52" i="47"/>
  <c r="P53" i="38"/>
  <c r="P54" i="38"/>
  <c r="P56" i="38"/>
  <c r="P52" i="45"/>
  <c r="P56" i="45"/>
  <c r="P55" i="45"/>
  <c r="P54" i="45"/>
  <c r="P53" i="49"/>
  <c r="P52" i="49"/>
  <c r="P56" i="49"/>
  <c r="P54" i="49"/>
  <c r="P36" i="15" l="1"/>
  <c r="P36" i="17"/>
  <c r="P76" i="10"/>
  <c r="P57" i="98" s="1"/>
  <c r="P36" i="7"/>
  <c r="P43" i="98" s="1"/>
  <c r="P36" i="9"/>
  <c r="P44" i="98" s="1"/>
  <c r="P76" i="9"/>
  <c r="P83" i="98" s="1"/>
  <c r="P116" i="9"/>
  <c r="P123" i="98" s="1"/>
  <c r="P76" i="7"/>
  <c r="P82" i="98" s="1"/>
  <c r="P116" i="7"/>
  <c r="P122" i="98" s="1"/>
  <c r="P76" i="32"/>
  <c r="P68" i="98" s="1"/>
  <c r="P76" i="28"/>
  <c r="P64" i="98" s="1"/>
  <c r="P76" i="22"/>
  <c r="P62" i="98" s="1"/>
  <c r="P61" i="98"/>
  <c r="P76" i="13"/>
  <c r="P59" i="98" s="1"/>
  <c r="P15" i="98"/>
  <c r="P36" i="22"/>
  <c r="P17" i="98" s="1"/>
  <c r="P36" i="10"/>
  <c r="P12" i="98" s="1"/>
  <c r="P36" i="24"/>
  <c r="P36" i="28"/>
  <c r="P19" i="98" s="1"/>
  <c r="P36" i="13"/>
  <c r="P36" i="8"/>
  <c r="P45" i="98" s="1"/>
  <c r="P36" i="5"/>
  <c r="P41" i="98" s="1"/>
  <c r="P36" i="32"/>
  <c r="P22" i="98" s="1"/>
  <c r="P76" i="41"/>
  <c r="P78" i="98" s="1"/>
  <c r="P76" i="38"/>
  <c r="P74" i="98" s="1"/>
  <c r="P76" i="49"/>
  <c r="P77" i="98" s="1"/>
  <c r="P76" i="45"/>
  <c r="P75" i="98" s="1"/>
  <c r="P76" i="47"/>
  <c r="P76" i="98" s="1"/>
  <c r="P36" i="38"/>
  <c r="P30" i="98" s="1"/>
  <c r="P36" i="49"/>
  <c r="P33" i="98" s="1"/>
  <c r="P36" i="45"/>
  <c r="P31" i="98" s="1"/>
  <c r="P36" i="47"/>
  <c r="P32" i="98" s="1"/>
  <c r="P15" i="6"/>
  <c r="P12" i="6"/>
  <c r="P17" i="6"/>
  <c r="P14" i="6"/>
  <c r="P16" i="6"/>
  <c r="P14" i="98" l="1"/>
  <c r="P35" i="98"/>
  <c r="P18" i="98"/>
  <c r="P38" i="98"/>
  <c r="P37" i="98"/>
  <c r="P16" i="98"/>
  <c r="P116" i="6"/>
  <c r="P121" i="98" s="1"/>
  <c r="P76" i="6"/>
  <c r="P81" i="98" s="1"/>
  <c r="P36" i="6"/>
  <c r="P42" i="98" s="1"/>
</calcChain>
</file>

<file path=xl/sharedStrings.xml><?xml version="1.0" encoding="utf-8"?>
<sst xmlns="http://schemas.openxmlformats.org/spreadsheetml/2006/main" count="946" uniqueCount="640">
  <si>
    <t>Rentneranteil</t>
  </si>
  <si>
    <t>Bilanzsumme</t>
  </si>
  <si>
    <t>Total</t>
  </si>
  <si>
    <t>Spareinrichtung</t>
  </si>
  <si>
    <t>EVK 2000</t>
  </si>
  <si>
    <t>BVG 2000</t>
  </si>
  <si>
    <t>BVG 2005</t>
  </si>
  <si>
    <t>BVG 2010</t>
  </si>
  <si>
    <t>VZ 1990</t>
  </si>
  <si>
    <t>VZ 2000</t>
  </si>
  <si>
    <t>VZ 2005</t>
  </si>
  <si>
    <t>VZ 2010</t>
  </si>
  <si>
    <t>Andere</t>
  </si>
  <si>
    <t>Rentnerkasse</t>
  </si>
  <si>
    <t>Beitragsprimat</t>
  </si>
  <si>
    <t>Leistungsprimat</t>
  </si>
  <si>
    <t>Mischform</t>
  </si>
  <si>
    <t>Liquidität</t>
  </si>
  <si>
    <t>Forderungen</t>
  </si>
  <si>
    <t>Immobilien</t>
  </si>
  <si>
    <t>Aktien</t>
  </si>
  <si>
    <t>Alternative Anlagen</t>
  </si>
  <si>
    <t>Versandte Fragebogen</t>
  </si>
  <si>
    <t>Eingereichte Fragebogen</t>
  </si>
  <si>
    <t>davon in Liquidation</t>
  </si>
  <si>
    <t>davon nicht dem Freizügigkeitsgesetz unterstellt</t>
  </si>
  <si>
    <t>Verwendete Fragebogen</t>
  </si>
  <si>
    <t>Rechtsform</t>
  </si>
  <si>
    <t>Anzahl VE</t>
  </si>
  <si>
    <t>Privatrechtliche Stiftung</t>
  </si>
  <si>
    <t>Privatrechtliche Genossenschaft</t>
  </si>
  <si>
    <t>Einrichtung öffentlichen Rechts</t>
  </si>
  <si>
    <t>Privatrechtlicher Arbeitgeber</t>
  </si>
  <si>
    <t>Autonom ohne Rückversicherung</t>
  </si>
  <si>
    <t>Autonom mit Excess-of-Loss-Versicherung</t>
  </si>
  <si>
    <t>Autonom mit Stop-Loss-Versicherung</t>
  </si>
  <si>
    <t>Teilautonom: Altersrenten durch VE sichergestellt</t>
  </si>
  <si>
    <t>Teilautonom: Kauf individueller Altersrenten bei einer Versicherung</t>
  </si>
  <si>
    <t>Vollversicherung (Kollektiv)</t>
  </si>
  <si>
    <t>Obligatorische Leistungen (inkl. umhüllende VE)</t>
  </si>
  <si>
    <t>Nur überobligatorische Leistungen</t>
  </si>
  <si>
    <t>Verwaltungsform</t>
  </si>
  <si>
    <t>Vorsorgeeinrichtung eines Arbeitgebers</t>
  </si>
  <si>
    <t>Vorsorgeeinrichtung eines Konzerns</t>
  </si>
  <si>
    <t>Anderer Zusammenschluss mehrerer Arbeitgeber</t>
  </si>
  <si>
    <t>Gemeinschaftseinrichtung</t>
  </si>
  <si>
    <t>Sammeleinrichtung</t>
  </si>
  <si>
    <t>Sammel-/Gemeinschaftseinrichtung öffentlich-rechtl. Arbeitgeber</t>
  </si>
  <si>
    <t>Biometrische Grundlagen</t>
  </si>
  <si>
    <t>Periodentafel</t>
  </si>
  <si>
    <t>Generationentafel</t>
  </si>
  <si>
    <t>Versicherung / nur Kapitalien</t>
  </si>
  <si>
    <t>Erhöhung Deckungsgrad um</t>
  </si>
  <si>
    <t>Risikostufe</t>
  </si>
  <si>
    <t>2 – eher klein</t>
  </si>
  <si>
    <t>4 – eher hoch</t>
  </si>
  <si>
    <t>Anzahl aktive Versicherte</t>
  </si>
  <si>
    <t>Anzahl Versicherte</t>
  </si>
  <si>
    <t>Anzahl Rentner</t>
  </si>
  <si>
    <t>alle Vorsorgeeinrichtungen</t>
  </si>
  <si>
    <t>Vorsorgeeinrichtungen mit Staatsgarantie</t>
  </si>
  <si>
    <t>Vorsorgeeinrichtungen ohne Staatsgarantie</t>
  </si>
  <si>
    <t>Keine (Versicherungsvertrag)</t>
  </si>
  <si>
    <t>Keine (temporäre Leistungen)</t>
  </si>
  <si>
    <t>Keine</t>
  </si>
  <si>
    <t>Versicherte Lohnsumme</t>
  </si>
  <si>
    <t>Basislohnsumme</t>
  </si>
  <si>
    <t>Rentensumme</t>
  </si>
  <si>
    <t>Arbeitgeberbeitragsreserven ohne Verwendungsverzicht</t>
  </si>
  <si>
    <t>Arbeitgeberbeitragsreserven mit Verwendungsverzicht</t>
  </si>
  <si>
    <t>BVG-Altersguthaben</t>
  </si>
  <si>
    <t>Vorsorgekapital aktive Versicherte</t>
  </si>
  <si>
    <t>Vorsorgekapital Rentner</t>
  </si>
  <si>
    <t>Technische Rückstellungen</t>
  </si>
  <si>
    <t>Reglementarische Beiträge</t>
  </si>
  <si>
    <t>Andere Beiträge</t>
  </si>
  <si>
    <t>Anzahl Vorsorgeeinrichtungen</t>
  </si>
  <si>
    <t>Anteil Generationentafeln</t>
  </si>
  <si>
    <t>Anteil Unterdeckungen</t>
  </si>
  <si>
    <t>Anteil Leistungsprimat</t>
  </si>
  <si>
    <t>Anteil registrierte Vorsorgeeinrichtungen</t>
  </si>
  <si>
    <t>Anteil BVG-Altersguthaben an Vorsorgekapital Aktive</t>
  </si>
  <si>
    <t>Anteil Sachwerte an Anlagen</t>
  </si>
  <si>
    <t>ø Technischer Zinssatz</t>
  </si>
  <si>
    <t>ø Deckungsgrad mit individuellen Grundlagen</t>
  </si>
  <si>
    <t>ø Deckungsgrad mit einheitlichen Grundlagen</t>
  </si>
  <si>
    <t>ø Verzinsung Altersguthaben (Beitragsprimat)</t>
  </si>
  <si>
    <t>ø geplanter Umwandlungssatz (in 5 Jahren, im Alter 65, Beitragsprimat)</t>
  </si>
  <si>
    <t>ø Auswirkung von Sanierungsbeiträgen</t>
  </si>
  <si>
    <t>ø Auswirkung von Minderverzinsungen</t>
  </si>
  <si>
    <t>ø Nettorendite auf Anlagen</t>
  </si>
  <si>
    <t>nicht definiert</t>
  </si>
  <si>
    <t>exakt 0%</t>
  </si>
  <si>
    <t>exakt 100%</t>
  </si>
  <si>
    <t>unter 0.00%</t>
  </si>
  <si>
    <t>exakt 1.50%</t>
  </si>
  <si>
    <t>exakt 1.75%</t>
  </si>
  <si>
    <t>exakt 0.00%</t>
  </si>
  <si>
    <t>Wohnimmobilien Schweiz Direktanlagen</t>
  </si>
  <si>
    <t>Geschäftsimmobilien Schweiz Direktanlagen</t>
  </si>
  <si>
    <t xml:space="preserve">Immobilienfonds Schweiz </t>
  </si>
  <si>
    <t>Immobilien Ausland</t>
  </si>
  <si>
    <t>Aktien Schweiz</t>
  </si>
  <si>
    <t>Aktien Industrieländer</t>
  </si>
  <si>
    <t>Aktien Emerging Markets</t>
  </si>
  <si>
    <t>Hedge Funds</t>
  </si>
  <si>
    <t>Private Equity</t>
  </si>
  <si>
    <t>Infrastrukturanlagen</t>
  </si>
  <si>
    <t>Alternative Forderungen</t>
  </si>
  <si>
    <t>Andere alternative Anlagen</t>
  </si>
  <si>
    <t>VE ohne Staatsgarantie</t>
  </si>
  <si>
    <t>VE mit Staatsgarantie</t>
  </si>
  <si>
    <t>Keine (Kapitalleistungen)</t>
  </si>
  <si>
    <t>unverändert</t>
  </si>
  <si>
    <t>unter 1%</t>
  </si>
  <si>
    <t>1 – klein</t>
  </si>
  <si>
    <t>3 – mittel</t>
  </si>
  <si>
    <t>5 – hoch</t>
  </si>
  <si>
    <t>2.50% – 2.99%</t>
  </si>
  <si>
    <t>3.00% – 3.49%</t>
  </si>
  <si>
    <t>3.50% – 3.99%</t>
  </si>
  <si>
    <t>4.00% – 4.49%</t>
  </si>
  <si>
    <t>80.0% – 89.9%</t>
  </si>
  <si>
    <t>90.0% – 99.9%</t>
  </si>
  <si>
    <t>100.0% – 109.9%</t>
  </si>
  <si>
    <t>110.0% – 119.9%</t>
  </si>
  <si>
    <t>0.00% – 0.19%</t>
  </si>
  <si>
    <t>0.20% – 0.39%</t>
  </si>
  <si>
    <t>0.40% – 0.59%</t>
  </si>
  <si>
    <t>0.60% – 0.79%</t>
  </si>
  <si>
    <t>0.80% – 0.99%</t>
  </si>
  <si>
    <t>0% – 5%</t>
  </si>
  <si>
    <t>5% – 10%</t>
  </si>
  <si>
    <t>10% – 15%</t>
  </si>
  <si>
    <t>15% – 20%</t>
  </si>
  <si>
    <t>20% – 25%</t>
  </si>
  <si>
    <t>25% – 30%</t>
  </si>
  <si>
    <t>30% – 35%</t>
  </si>
  <si>
    <t>35% – 40%</t>
  </si>
  <si>
    <t>40% – 45%</t>
  </si>
  <si>
    <t>45% – 50%</t>
  </si>
  <si>
    <t>50% – 55%</t>
  </si>
  <si>
    <t>55% – 60%</t>
  </si>
  <si>
    <t>60% – 65%</t>
  </si>
  <si>
    <t>65% – 70%</t>
  </si>
  <si>
    <t>70% – 75%</t>
  </si>
  <si>
    <t>75% – 80%</t>
  </si>
  <si>
    <t>80% – 85%</t>
  </si>
  <si>
    <t>85% – 90%</t>
  </si>
  <si>
    <t>90% – 95%</t>
  </si>
  <si>
    <t>95% – 100%</t>
  </si>
  <si>
    <t>Arbeitgeber und Garantieform</t>
  </si>
  <si>
    <t>Versicherungsdeckung</t>
  </si>
  <si>
    <t>ø Fremdwährungsexposure</t>
  </si>
  <si>
    <t>ø Ziel-Wertschwankungsreserven</t>
  </si>
  <si>
    <t>Staatsanleihen CHF</t>
  </si>
  <si>
    <t>Unternehmensanleihen CHF</t>
  </si>
  <si>
    <t>Obligationen Fremdwährungen</t>
  </si>
  <si>
    <t>Jahr</t>
  </si>
  <si>
    <t>Rendite Bundesobligationen</t>
  </si>
  <si>
    <t>BVG-Mindestzins</t>
  </si>
  <si>
    <t>Künftiger Wert</t>
  </si>
  <si>
    <t>Aktueller Wert</t>
  </si>
  <si>
    <t>Schwerpunkt: Drei Zinssätze als zentrale Steuerungsgrössen</t>
  </si>
  <si>
    <t>Vorsorgeeinrichtungen in Unterdeckung</t>
  </si>
  <si>
    <t>Gesamt-Risiko</t>
  </si>
  <si>
    <t>Deckungsgrad mit individuellen Grundlagen</t>
  </si>
  <si>
    <t>Rücklaufquote</t>
  </si>
  <si>
    <t>Basisdaten</t>
  </si>
  <si>
    <t>alle VE</t>
  </si>
  <si>
    <t>alle Geldbeträge in Mio. CHF</t>
  </si>
  <si>
    <t>Bitte wählen Sie Ihre bevorzugte Sprache:</t>
  </si>
  <si>
    <t>Choisissez votre langue préférée s.v.p.:</t>
  </si>
  <si>
    <t>deutsch</t>
  </si>
  <si>
    <t>français</t>
  </si>
  <si>
    <t>choice of language</t>
  </si>
  <si>
    <t>translated text</t>
  </si>
  <si>
    <t>Forme juridique</t>
  </si>
  <si>
    <t>Société coopérative de droit privé</t>
  </si>
  <si>
    <t>Employeur de droit privé</t>
  </si>
  <si>
    <t>Öffentlich-rechtlicher Arbeitgeber</t>
  </si>
  <si>
    <t>Employeur de droit public</t>
  </si>
  <si>
    <t>Forme administrative</t>
  </si>
  <si>
    <t>Institution collective</t>
  </si>
  <si>
    <t>Institution commune</t>
  </si>
  <si>
    <t>Autonome sans réassurance</t>
  </si>
  <si>
    <t>Forme mixte</t>
  </si>
  <si>
    <t>Autre</t>
  </si>
  <si>
    <t>Bases biométriques</t>
  </si>
  <si>
    <t>LPP 2000</t>
  </si>
  <si>
    <t>LPP 2005</t>
  </si>
  <si>
    <t>LPP 2010</t>
  </si>
  <si>
    <t>Aucune</t>
  </si>
  <si>
    <t>Liquidités</t>
  </si>
  <si>
    <t>Biens immobiliers</t>
  </si>
  <si>
    <t>Actions</t>
  </si>
  <si>
    <t>Placements alternatifs</t>
  </si>
  <si>
    <t>Nombre d’assurés actifs</t>
  </si>
  <si>
    <t>Masse salariale assurée</t>
  </si>
  <si>
    <t>Somme du bilan</t>
  </si>
  <si>
    <t>Provisions techniques</t>
  </si>
  <si>
    <t>Cotisations réglementaires</t>
  </si>
  <si>
    <t>Sanierungsmassnahmen</t>
  </si>
  <si>
    <t>Deckungsgrad mit einheitlichen Grundlagen</t>
  </si>
  <si>
    <t>Risque global</t>
  </si>
  <si>
    <t>Link zum Fragebogen:</t>
  </si>
  <si>
    <t>Lien vers le questionnaire:</t>
  </si>
  <si>
    <t>Link zu den Erläuterungen:</t>
  </si>
  <si>
    <t>Lien vers le guide:</t>
  </si>
  <si>
    <t>Link zu den Berechnungen:</t>
  </si>
  <si>
    <t>Lien vers les calculs:</t>
  </si>
  <si>
    <t>Link zum Bericht:</t>
  </si>
  <si>
    <t>Lien vers le rapport:</t>
  </si>
  <si>
    <t>Tabellarische Darstellung der drei Zinsgrössen</t>
  </si>
  <si>
    <t>zurück zur Übersicht</t>
  </si>
  <si>
    <t>Perioden- und Generationentafeln</t>
  </si>
  <si>
    <t>1 – faible</t>
  </si>
  <si>
    <t>2 – plutôt faible</t>
  </si>
  <si>
    <t>3 – moyen</t>
  </si>
  <si>
    <t>4 – plutôt élevé</t>
  </si>
  <si>
    <t>5 – élevé</t>
  </si>
  <si>
    <t>Taux de retour des questionnaires</t>
  </si>
  <si>
    <t>Questionnaires envoyés</t>
  </si>
  <si>
    <t>Questionnaires retournés</t>
  </si>
  <si>
    <t>dont d'institutions en liquidation</t>
  </si>
  <si>
    <t>dont d'institutions non soumises à la loi sur le libre passage</t>
  </si>
  <si>
    <t>Questionnaires exploités pour le présent rapport</t>
  </si>
  <si>
    <t>Nombre d’institutions de prévoyance</t>
  </si>
  <si>
    <t>Nombre de rentiers</t>
  </si>
  <si>
    <t>Masse salariale de base</t>
  </si>
  <si>
    <t>Somme des rentes</t>
  </si>
  <si>
    <t>Réserves de cotisations d’employeur sans déclaration de renonciation</t>
  </si>
  <si>
    <t>Réserves de cotisations d’employeur avec déclaration de renonciation</t>
  </si>
  <si>
    <t>Avoirs de vieillesse LPP</t>
  </si>
  <si>
    <t>Capital de prévoyance des assurés actifs</t>
  </si>
  <si>
    <t>Capital de prévoyance des rentiers</t>
  </si>
  <si>
    <t>Autres contributions</t>
  </si>
  <si>
    <t>ø Taux d’intérêt technique</t>
  </si>
  <si>
    <t>Tables de génération (part)</t>
  </si>
  <si>
    <t>ø Taux de couverture calculé sur des bases individuelles</t>
  </si>
  <si>
    <t>ø Taux de couverture calculé sur des bases uniformes</t>
  </si>
  <si>
    <t>Situations de découvert (part)</t>
  </si>
  <si>
    <t>ø Zinsversprechen bei Pensionierung (in 5 Jahren)</t>
  </si>
  <si>
    <t>ø Promesses d’intérêts au moment du départ à la retraite (dans cinq ans)</t>
  </si>
  <si>
    <t>Institutions de prévoyance enregistrées (part)</t>
  </si>
  <si>
    <t>Avoirs de vieillesse LPP dans le capital de prévoyance des assurés actifs (part)</t>
  </si>
  <si>
    <t>Anteil Rentenverpflichtungen</t>
  </si>
  <si>
    <t>Engagements liés aux rentes (part)</t>
  </si>
  <si>
    <t>ø Impact de la perception de cotisations d’assainissement</t>
  </si>
  <si>
    <t>ø Impact d’une baisse de la rémunération des avoirs de vieillesse</t>
  </si>
  <si>
    <t>Valeurs réelles dans les placements (part)</t>
  </si>
  <si>
    <t>ø Rendement net des placements</t>
  </si>
  <si>
    <t>ø Exposition au risque de change</t>
  </si>
  <si>
    <t>ø Objectif des réserves de fluctuation de valeur</t>
  </si>
  <si>
    <t>Verzinsung der Altersguthaben</t>
  </si>
  <si>
    <t>unter 1.00%</t>
  </si>
  <si>
    <t>Moins de 1,00 %</t>
  </si>
  <si>
    <t>1.00% – 1.49%</t>
  </si>
  <si>
    <t>De 1,00 à 1,49 %</t>
  </si>
  <si>
    <t>1.50% – 1.99%</t>
  </si>
  <si>
    <t>De 1,50 à 1,99 %</t>
  </si>
  <si>
    <t>2.00% – 2.49%</t>
  </si>
  <si>
    <t>De 2,00 à 2,49 %</t>
  </si>
  <si>
    <t>De 2,50 à 2,99 %</t>
  </si>
  <si>
    <t>3.00% oder höher</t>
  </si>
  <si>
    <t>3,00 % et plus</t>
  </si>
  <si>
    <t xml:space="preserve">Taux d'intérêt technique </t>
  </si>
  <si>
    <t>keine selbst erbrachten Rentenleistungen</t>
  </si>
  <si>
    <t>Pas de rentes payées directement par l'IP</t>
  </si>
  <si>
    <t>De 3,00 à 3,49 %</t>
  </si>
  <si>
    <t>De 3,50 à 3,99 %</t>
  </si>
  <si>
    <t>De 4,00 à 4,49 %</t>
  </si>
  <si>
    <t>Erhöhung</t>
  </si>
  <si>
    <t>Augmentation</t>
  </si>
  <si>
    <t>Inchangé</t>
  </si>
  <si>
    <t>Reduktion bis 0.50%</t>
  </si>
  <si>
    <t>Baisse jusqu'à 0,50 %</t>
  </si>
  <si>
    <t>Reduktion zwischen 0.51% bis 1.00%</t>
  </si>
  <si>
    <t>Baisse de 0,51 à 1,00 %</t>
  </si>
  <si>
    <t>Reduktion über 1.00%</t>
  </si>
  <si>
    <t>Baisse supérieure à 1,00 %</t>
  </si>
  <si>
    <t>EVK 2000 und älter</t>
  </si>
  <si>
    <t>CFP 2000 et plus anciennes</t>
  </si>
  <si>
    <t>BVG 2005 und älter</t>
  </si>
  <si>
    <t>LPP 2005 et plus anciennes</t>
  </si>
  <si>
    <t>VZ 2005 und älter</t>
  </si>
  <si>
    <t>VZ 2005 et plus anciennes</t>
  </si>
  <si>
    <t>Tables périodiques et tables de génération</t>
  </si>
  <si>
    <t>Tables périodiques</t>
  </si>
  <si>
    <t>Tables de génération</t>
  </si>
  <si>
    <t>Taux de couverture calculé sur des bases individuelles</t>
  </si>
  <si>
    <t>De 80,0 à 89,9 %</t>
  </si>
  <si>
    <t>De 90,0 à 99,9 %</t>
  </si>
  <si>
    <t>De 100,0 à 109,9 %</t>
  </si>
  <si>
    <t>De 110,0 à 119,9 %</t>
  </si>
  <si>
    <t>120,0 % et plus</t>
  </si>
  <si>
    <t>Taux de couverture calculé sur des bases uniformes</t>
  </si>
  <si>
    <t>Beitrags- und Leistungsprimat für Altersleistungen</t>
  </si>
  <si>
    <t>Caisse ne comptant que des rentiers</t>
  </si>
  <si>
    <t>Erhöhung Deckungsgrad pro Jahr bei einem Sanierungsbeitrag von 1%</t>
  </si>
  <si>
    <t>Augmentation du taux de couverture par année en cas de cotisation d'assainissement équivalent à 1 % de la masse salariale de base</t>
  </si>
  <si>
    <t>De 0,00 à 0,19 %</t>
  </si>
  <si>
    <t>De 0,20 à 0,39 %</t>
  </si>
  <si>
    <t>De 0,40 à 0,59 %</t>
  </si>
  <si>
    <t>De 0,60 à 0,79 %</t>
  </si>
  <si>
    <t>De 0,80 à 0,99 %</t>
  </si>
  <si>
    <t>1.00% oder mehr</t>
  </si>
  <si>
    <t>1,00 % et plus</t>
  </si>
  <si>
    <t>Anteil der BVG-Altersguthaben</t>
  </si>
  <si>
    <t>Part des avoirs de vieillesse LPP</t>
  </si>
  <si>
    <t>Non défini</t>
  </si>
  <si>
    <t>unter 20%</t>
  </si>
  <si>
    <t>Moins de 20 %</t>
  </si>
  <si>
    <t>20% – 39%</t>
  </si>
  <si>
    <t>De 20 à 39 %</t>
  </si>
  <si>
    <t>40% – 59%</t>
  </si>
  <si>
    <t>De 40 à 59 %</t>
  </si>
  <si>
    <t>60% – 79%</t>
  </si>
  <si>
    <t>De 60 à 79 %</t>
  </si>
  <si>
    <t>80% – 99%</t>
  </si>
  <si>
    <t>De 80 à 99 %</t>
  </si>
  <si>
    <t>100 %</t>
  </si>
  <si>
    <t>Erhöhung Deckungsgrad pro Jahr bei einer Minderverzinsung von 1%</t>
  </si>
  <si>
    <t>Augmentation du taux de couverture par année en cas de réduction de 1 % de la rémunération des avoirs de vieillesse</t>
  </si>
  <si>
    <t>100%</t>
  </si>
  <si>
    <t>1.00%</t>
  </si>
  <si>
    <t>1,00 %</t>
  </si>
  <si>
    <t>Créances</t>
  </si>
  <si>
    <t>Sachwertanteile der Anlagestrategien</t>
  </si>
  <si>
    <t>Part des valeurs réelles dans les stratégies de placement</t>
  </si>
  <si>
    <t>unter 40%</t>
  </si>
  <si>
    <t>Moins de 40 %</t>
  </si>
  <si>
    <t>40% – 49%</t>
  </si>
  <si>
    <t>De 40 à 49 %</t>
  </si>
  <si>
    <t>50% – 59%</t>
  </si>
  <si>
    <t>De 50 à 59 %</t>
  </si>
  <si>
    <t>60% – 69%</t>
  </si>
  <si>
    <t>De 60 à 69 %</t>
  </si>
  <si>
    <t>70% oder höher</t>
  </si>
  <si>
    <t>70 % et plus</t>
  </si>
  <si>
    <t>Obligations d’Etat CHF</t>
  </si>
  <si>
    <t>Obligations d’entreprises CHF</t>
  </si>
  <si>
    <t>Obligations en devises étrangères</t>
  </si>
  <si>
    <t>Immobilier résidentiel suisse, placements directs</t>
  </si>
  <si>
    <t>Immobilier commercial suisse, placements directs</t>
  </si>
  <si>
    <t xml:space="preserve">Fonds immobiliers suisses </t>
  </si>
  <si>
    <t>Immobilier à l’étranger</t>
  </si>
  <si>
    <t>Actions suisses</t>
  </si>
  <si>
    <t>Actions pays industrialisés</t>
  </si>
  <si>
    <t>Actions pays émergents</t>
  </si>
  <si>
    <t>Hedge funds</t>
  </si>
  <si>
    <t>Private equity</t>
  </si>
  <si>
    <t>Placements d’infrastructures</t>
  </si>
  <si>
    <t>Créances alternatives</t>
  </si>
  <si>
    <t>Autres placements alternatifs</t>
  </si>
  <si>
    <t>Fremdwährungsexposure</t>
  </si>
  <si>
    <t>Exposition au risque de change</t>
  </si>
  <si>
    <t>unter 5%</t>
  </si>
  <si>
    <t>Moins de 5 %</t>
  </si>
  <si>
    <t>5% – 9%</t>
  </si>
  <si>
    <t>De 5 à 9 %</t>
  </si>
  <si>
    <t>10% – 14%</t>
  </si>
  <si>
    <t>De 10 à 14 %</t>
  </si>
  <si>
    <t>15% – 19%</t>
  </si>
  <si>
    <t>De 15 à 19 %</t>
  </si>
  <si>
    <t>20% – 24%</t>
  </si>
  <si>
    <t>De 20 à 24 %</t>
  </si>
  <si>
    <t>25% oder mehr</t>
  </si>
  <si>
    <t>25 % et plus</t>
  </si>
  <si>
    <t>Moins de 1 %</t>
  </si>
  <si>
    <t>1.0% – 2.9%</t>
  </si>
  <si>
    <t>De 1,0 à 2,9 %</t>
  </si>
  <si>
    <t>3.0% – 4.9%</t>
  </si>
  <si>
    <t>De 3,0 à 4,9 %</t>
  </si>
  <si>
    <t>5.0% – 6.9%</t>
  </si>
  <si>
    <t>De 5,0 à 6,9 %</t>
  </si>
  <si>
    <t>7.0% – 8.9%</t>
  </si>
  <si>
    <t>De 7,0 à 8,9 %</t>
  </si>
  <si>
    <t>9% oder höher</t>
  </si>
  <si>
    <t>9 % et plus</t>
  </si>
  <si>
    <t>Ziel-Wertschwankungsreserven</t>
  </si>
  <si>
    <t>Objectif des réserves de fluctuation de valeur</t>
  </si>
  <si>
    <t>25% oder höher</t>
  </si>
  <si>
    <t>Mesures d'assainissement</t>
  </si>
  <si>
    <t>Institutions de prévoyance en sous-couverture</t>
  </si>
  <si>
    <t>Groupe de risque 1 – faible</t>
  </si>
  <si>
    <t>Groupe de risque 2 – plutôt faible</t>
  </si>
  <si>
    <t>Groupe de risque 3 – moyen</t>
  </si>
  <si>
    <t>Groupe de risque 4 – plutôt élevé</t>
  </si>
  <si>
    <t>Groupe de risque 5 – élevé</t>
  </si>
  <si>
    <t>Risikogruppe 1 – klein</t>
  </si>
  <si>
    <t>Risikogruppe 2 – eher klein</t>
  </si>
  <si>
    <t>Risikogruppe 3 – mittel</t>
  </si>
  <si>
    <t>Risikogruppe 4 – eher hoch</t>
  </si>
  <si>
    <t>Risikogruppe 5 – hoch</t>
  </si>
  <si>
    <t>Aucune mesure</t>
  </si>
  <si>
    <t>Effets limités</t>
  </si>
  <si>
    <t>Effets modérés</t>
  </si>
  <si>
    <t>Effets importants</t>
  </si>
  <si>
    <t>schwache Massnahmen</t>
  </si>
  <si>
    <t>mittlere Massnahmen</t>
  </si>
  <si>
    <t>starke Massnahmen</t>
  </si>
  <si>
    <t>Fondation privée</t>
  </si>
  <si>
    <t>Institution de droit public</t>
  </si>
  <si>
    <t>Employeur et forme de garantie</t>
  </si>
  <si>
    <t>Couverture d'assurance</t>
  </si>
  <si>
    <r>
      <t xml:space="preserve">Autonome avec réassurance de type </t>
    </r>
    <r>
      <rPr>
        <i/>
        <sz val="10"/>
        <color theme="1"/>
        <rFont val="Arial"/>
        <family val="2"/>
      </rPr>
      <t>stop-loss</t>
    </r>
  </si>
  <si>
    <r>
      <t xml:space="preserve">Autonome avec réassurance de type </t>
    </r>
    <r>
      <rPr>
        <i/>
        <sz val="10"/>
        <color theme="1"/>
        <rFont val="Arial"/>
        <family val="2"/>
      </rPr>
      <t>excess-of-loss</t>
    </r>
  </si>
  <si>
    <t>Semi-autonome : rentes de vieillesse garanties par l'institution de prévoyance</t>
  </si>
  <si>
    <t>Semi-autonome : rachat de rentes de vieillesse individuelles auprès d'une assurance</t>
  </si>
  <si>
    <t>Assurance complète (collective)</t>
  </si>
  <si>
    <t>Institution d'épargne</t>
  </si>
  <si>
    <t>Prestations obligatoires (y compris IP enveloppantes)</t>
  </si>
  <si>
    <t>Prestations surobligatoires uniquement</t>
  </si>
  <si>
    <t>Institution de prévoyance d’un seul employeur</t>
  </si>
  <si>
    <t>Institution de prévoyance d’un groupe</t>
  </si>
  <si>
    <t>Autre regroupement de plusieurs employeurs</t>
  </si>
  <si>
    <t>Institution collective ou commune d'employeurs de droit public</t>
  </si>
  <si>
    <t>valeur future</t>
  </si>
  <si>
    <t>valeur actuelle</t>
  </si>
  <si>
    <t>Jährliche Altersrente</t>
  </si>
  <si>
    <t>rente de vieillesse annuelle</t>
  </si>
  <si>
    <t>Entwicklung des Zinsniveaus in den letzten 25 Jahren</t>
  </si>
  <si>
    <t>Evolution du niveau des intérêts des 25 dernières années</t>
  </si>
  <si>
    <t>Rendement des obligations de la Confédération</t>
  </si>
  <si>
    <t>Taux d'intérêt technique moyen</t>
  </si>
  <si>
    <t>Taux d'intérêt minimal LPP</t>
  </si>
  <si>
    <t>Nombre d'IP ayant pris des mesures</t>
  </si>
  <si>
    <t>Abbildung</t>
  </si>
  <si>
    <t>Abbildungen</t>
  </si>
  <si>
    <t>und</t>
  </si>
  <si>
    <t>Figure</t>
  </si>
  <si>
    <t>Figures</t>
  </si>
  <si>
    <t>et</t>
  </si>
  <si>
    <t>retour à la vue d'ensemble</t>
  </si>
  <si>
    <t>Approfondissement : les trois taux d'intérêt déterminants</t>
  </si>
  <si>
    <t>Höhe der jährlichen Altersrente bei einem Altersguthaben von 100 und fixem Zinsversprechen bei Pensionierung</t>
  </si>
  <si>
    <t>Zinssatz</t>
  </si>
  <si>
    <t>taux d'intérêt</t>
  </si>
  <si>
    <t>Künftiger Wert von 100 bei zehn Jahren Laufzeit und fixer jährlicher Verzinsung</t>
  </si>
  <si>
    <t>Aktueller Wert von 100 bei Auszahlung in zehn Jahren und fixer jährlicher Verzinsung</t>
  </si>
  <si>
    <t>Durchschnittlicher technischer Zins</t>
  </si>
  <si>
    <t>Année</t>
  </si>
  <si>
    <t>Tableau schématique des trois taux d'intérêt déterminants</t>
  </si>
  <si>
    <t>Nicht eingereichte Fragebogen</t>
  </si>
  <si>
    <t>Questionnaires non retournés</t>
  </si>
  <si>
    <t>institutions de prévoyance sans garantie étatique</t>
  </si>
  <si>
    <t>institutions de prévoyance avec garantie étatique</t>
  </si>
  <si>
    <t>toutes les institutions de prévoyance</t>
  </si>
  <si>
    <t>Nombre d'IP</t>
  </si>
  <si>
    <t>Nombre d'assurés actifs</t>
  </si>
  <si>
    <t>Nombre d'assurés</t>
  </si>
  <si>
    <t>toutes les IP</t>
  </si>
  <si>
    <t>IP sans garantie étatique</t>
  </si>
  <si>
    <t>IP avec garantie étatique</t>
  </si>
  <si>
    <t>Données de base</t>
  </si>
  <si>
    <t>les montants exprimés en millions de francs</t>
  </si>
  <si>
    <t>Anzahl VE mit getroffenen Massnahmen</t>
  </si>
  <si>
    <t>ohne Massnahmen</t>
  </si>
  <si>
    <t>Niveau de risque</t>
  </si>
  <si>
    <t>Augmentation du taux de couverture de</t>
  </si>
  <si>
    <t>Registrierung und Umfang der Leistungen</t>
  </si>
  <si>
    <t>Risque lié au taux de couverture</t>
  </si>
  <si>
    <t>Risque lié à la promesse d'intérêts</t>
  </si>
  <si>
    <t>Risque lié à la capacité d'assainissement</t>
  </si>
  <si>
    <t>Risque lié à la stratégie de placement</t>
  </si>
  <si>
    <t>Valeur future d'un apport de 100 à dix ans et intérêt annuel fixe</t>
  </si>
  <si>
    <t>Valeur actuelle d'un capital de 100 versé dans dix ans et taux d'intérêt technique fixe</t>
  </si>
  <si>
    <t>Montant de la rente de vieillesse annuelle pour un avoir de vieillesse de 100 basée sur un intérêt convenu au moment du départ à la retraite</t>
  </si>
  <si>
    <t>Anzahl Fragebogen</t>
  </si>
  <si>
    <t>Nombre des questionnaires</t>
  </si>
  <si>
    <t>Anteil der versandten Fragebogen</t>
  </si>
  <si>
    <t>Part des questionnaires envoyés</t>
  </si>
  <si>
    <t>Voir http://www.oak-bv.admin.ch/fr/themes/recensement-situation-financiere/index.html</t>
  </si>
  <si>
    <t>Siehe http://www.oak-bv.admin.ch/de/themen/erhebung-finanzielle-lage/index.html</t>
  </si>
  <si>
    <t>stratégie de placement pondérée en fonction de la somme du bilan</t>
  </si>
  <si>
    <t>mit der Bilanzsumme gewichtete Anlagestrategie</t>
  </si>
  <si>
    <t>Part de rentiers</t>
  </si>
  <si>
    <t>De -0,01 à -0,25 %</t>
  </si>
  <si>
    <t>De -0,26 à -0,50 %</t>
  </si>
  <si>
    <t>De -0,51 à -0,75 %</t>
  </si>
  <si>
    <t>De -0,76 à -1,00 %</t>
  </si>
  <si>
    <t>De -1,01 à -1,50 %</t>
  </si>
  <si>
    <t>De -1,51 à -2,00 %</t>
  </si>
  <si>
    <t>De -2,01 à -2,50 %</t>
  </si>
  <si>
    <t>0,01 % et plus</t>
  </si>
  <si>
    <t>-0.25% – -0.01%</t>
  </si>
  <si>
    <t>-0.50% – -0.26%</t>
  </si>
  <si>
    <t>-0.75% – -0.51%</t>
  </si>
  <si>
    <t>-1.00% – -0.76%</t>
  </si>
  <si>
    <t>-1.50% – -1.01%</t>
  </si>
  <si>
    <t>-2.00% – -1.51%</t>
  </si>
  <si>
    <t>-2.50% – -2.01%</t>
  </si>
  <si>
    <t>-2,51 % et moins</t>
  </si>
  <si>
    <t>-2.51% oder tiefer</t>
  </si>
  <si>
    <t>0.01% oder höher</t>
  </si>
  <si>
    <t>0.50% – 0.99%</t>
  </si>
  <si>
    <t>1.76% – 1.99%</t>
  </si>
  <si>
    <t>1.51% – 1.74%</t>
  </si>
  <si>
    <t>4.50% – 4.99%</t>
  </si>
  <si>
    <t>5.00% oder höher</t>
  </si>
  <si>
    <t>Moins de 0,00 %</t>
  </si>
  <si>
    <t>Exactement 0,00 %</t>
  </si>
  <si>
    <t>0.01% – 0.49%</t>
  </si>
  <si>
    <t>De 0,01 à 0,49 %</t>
  </si>
  <si>
    <t>De 0,50 à 0,99 %</t>
  </si>
  <si>
    <t>Exactement 1,50 %</t>
  </si>
  <si>
    <t>Exactement 1,75 %</t>
  </si>
  <si>
    <t>De 1,51 à 1,74 %</t>
  </si>
  <si>
    <t>De 1,76 à 1,99 %</t>
  </si>
  <si>
    <t>De 4,50 à 4,99 %</t>
  </si>
  <si>
    <t>5,00 % et plus</t>
  </si>
  <si>
    <t>CFP 2000</t>
  </si>
  <si>
    <t>Aucune (contrat d'assurance)</t>
  </si>
  <si>
    <t>Aucune (prestations sous forme de capital)</t>
  </si>
  <si>
    <t>Aucune (prestations temporaires)</t>
  </si>
  <si>
    <t>120.0% oder höher</t>
  </si>
  <si>
    <t>Exactement 0 %</t>
  </si>
  <si>
    <t>De 1 à 4 %</t>
  </si>
  <si>
    <t>De 25 à 29 %</t>
  </si>
  <si>
    <t>De 30 à 34 %</t>
  </si>
  <si>
    <t>De 35 à 39 %</t>
  </si>
  <si>
    <t>De 40 à 44 %</t>
  </si>
  <si>
    <t>De 45 à 49 %</t>
  </si>
  <si>
    <t>De 50 à 54 %</t>
  </si>
  <si>
    <t>De 55 à 59 %</t>
  </si>
  <si>
    <t>De 60 à 64 %</t>
  </si>
  <si>
    <t>De 65 à 69 %</t>
  </si>
  <si>
    <t>De 70 à 74 %</t>
  </si>
  <si>
    <t>De 75 à 79 %</t>
  </si>
  <si>
    <t>De 80 à 84 %</t>
  </si>
  <si>
    <t>De 85 à 89 %</t>
  </si>
  <si>
    <t>De 90 à 94 %</t>
  </si>
  <si>
    <t>De 95 à 99 %</t>
  </si>
  <si>
    <t>Exactement 100 %</t>
  </si>
  <si>
    <t xml:space="preserve">   Vollkapitalisierung ohne Staatsgarantie</t>
  </si>
  <si>
    <t xml:space="preserve">   Vollkapitalisierung mit Staatsgarantie</t>
  </si>
  <si>
    <t xml:space="preserve">   Teilkapitalisierung</t>
  </si>
  <si>
    <t xml:space="preserve">   Zukünftiges System noch unklar</t>
  </si>
  <si>
    <t xml:space="preserve">   Capitalisation complète sans garantie étatique</t>
  </si>
  <si>
    <t xml:space="preserve">   Capitalisation complète avec garantie étatique</t>
  </si>
  <si>
    <t xml:space="preserve">   Capitalisation partielle</t>
  </si>
  <si>
    <t xml:space="preserve">   Système appliqué à l'avenir non encore déterminé</t>
  </si>
  <si>
    <t>Veränderung des technischen Zinses (von 2013 auf 2014)</t>
  </si>
  <si>
    <t>Evolution de l’intérêt technique (de 2013 à 2014)</t>
  </si>
  <si>
    <t>Enregistrement et étendue des prestations</t>
  </si>
  <si>
    <t>für weitere Informationen siehe</t>
  </si>
  <si>
    <t>http://www.oak-bv.admin.ch/de/themen/erhebung-finanzielle-lage/index.html</t>
  </si>
  <si>
    <t>http://www.oak-bv.admin.ch/fr/themes/recensement-situation-financiere/index.html</t>
  </si>
  <si>
    <t>pour de plus amples informations, voir</t>
  </si>
  <si>
    <t>Assurance / Prestations sous forme de capital</t>
  </si>
  <si>
    <t>-1.01% oder tiefer</t>
  </si>
  <si>
    <t>-1,01 % et moins</t>
  </si>
  <si>
    <t>keine Daten erhoben</t>
  </si>
  <si>
    <t>pas de données saisies</t>
  </si>
  <si>
    <t>nicht separat erhoben</t>
  </si>
  <si>
    <t>non saisi séparément</t>
  </si>
  <si>
    <t>alle Anteile und Durchschnitte mit dem Vorsorgekapital gewichtet</t>
  </si>
  <si>
    <t>les parts et les moyennes pondérées en fonction du capital de prévoyance</t>
  </si>
  <si>
    <t>Vorsorgekapital in Mio. CHF</t>
  </si>
  <si>
    <t>capital de prévoyance en millions de francs</t>
  </si>
  <si>
    <t>Capital de prévoyance</t>
  </si>
  <si>
    <t>Part du capital de prévoyance</t>
  </si>
  <si>
    <t>ø geschätzte Volatilität</t>
  </si>
  <si>
    <t>ø Volatilité estimée</t>
  </si>
  <si>
    <t>BVG 2015</t>
  </si>
  <si>
    <t>LPP 2015</t>
  </si>
  <si>
    <t>1e-Einrichtung</t>
  </si>
  <si>
    <t>Institution 1e</t>
  </si>
  <si>
    <t>Geschätzte Volatilität</t>
  </si>
  <si>
    <t>Volatilité estimée</t>
  </si>
  <si>
    <t>Risikodimension Deckungsgrad</t>
  </si>
  <si>
    <t>Risikodimension Zinsversprechen</t>
  </si>
  <si>
    <t>Risikodimension Sanierungsfähigkeit</t>
  </si>
  <si>
    <t>Risikodimension Anlagestrategie</t>
  </si>
  <si>
    <t>Vorsorge-kapital</t>
  </si>
  <si>
    <t>Anteil Vorsorge-kapital</t>
  </si>
  <si>
    <t>unter 2.00%</t>
  </si>
  <si>
    <t>Moins de 2,00 %</t>
  </si>
  <si>
    <t>4.00% oder höher</t>
  </si>
  <si>
    <t>4,00 % et plus</t>
  </si>
  <si>
    <t>Control of totals</t>
  </si>
  <si>
    <t>Bonus</t>
  </si>
  <si>
    <t>Technischer Zinssatz</t>
  </si>
  <si>
    <t>Kennzahlen</t>
  </si>
  <si>
    <t>Abweichung vom Zieldeckungsgrad (nur bei Teilkapitalisierung)</t>
  </si>
  <si>
    <t>Ecart avec le taux de couverture visé (seulement en cas de capitalisation partielle)</t>
  </si>
  <si>
    <t>unter -20.0%</t>
  </si>
  <si>
    <t>-20.0% – -10.1%</t>
  </si>
  <si>
    <t>-10.0% – -0.1%</t>
  </si>
  <si>
    <t>0.0% – 9.9%</t>
  </si>
  <si>
    <t>10.0% – 19.9%</t>
  </si>
  <si>
    <t>20.0% oder höher</t>
  </si>
  <si>
    <t>Moins de -20,0 %</t>
  </si>
  <si>
    <t>De -10,0 à -0,1 %</t>
  </si>
  <si>
    <t>De -20,0 à -10,1 %</t>
  </si>
  <si>
    <t>De 0,0 à 9,9 %</t>
  </si>
  <si>
    <t>De 10,0 à 19,9 %</t>
  </si>
  <si>
    <t>20,0 % et plus</t>
  </si>
  <si>
    <t>VZ 2015</t>
  </si>
  <si>
    <t>unter 1.0%</t>
  </si>
  <si>
    <t>Moins de 1,0 %</t>
  </si>
  <si>
    <t>9.0% oder höher</t>
  </si>
  <si>
    <t>9,0 % et plus</t>
  </si>
  <si>
    <t>Erhebung zur finanziellen Lage der Vorsorgeeinrichtungen 2017</t>
  </si>
  <si>
    <t>Enquête sur la situation financière des institutions de prévoyance 2017</t>
  </si>
  <si>
    <t>Datenauswertungen zum Bericht zur finanziellen Lage der Vorsorgeeinrichtungen 2017</t>
  </si>
  <si>
    <t>Données exploitées concernant le rapport sur la situation financière des institutions de prévoyance 2017</t>
  </si>
  <si>
    <t>http://www.oak-bv.admin.ch/fileadmin/dateien/themen/Erhebung_finanzielle_Lage/Fragebogen_2017.pdf</t>
  </si>
  <si>
    <t>http://www.oak-bv.admin.ch/fileadmin/dateien/themen/Erhebung_finanzielle_Lage/Questionnaire_2017.pdf</t>
  </si>
  <si>
    <t>http://www.oak-bv.admin.ch/fileadmin/dateien/themen/Erhebung_finanzielle_Lage/Erlaeuterungen_2017.pdf</t>
  </si>
  <si>
    <t>http://www.oak-bv.admin.ch/fileadmin/dateien/themen/Erhebung_finanzielle_Lage/Guide_2017.pdf</t>
  </si>
  <si>
    <t>http://www.oak-bv.admin.ch/fileadmin/dateien/themen/Erhebung_finanzielle_Lage/Berechnungen_2017.pdf</t>
  </si>
  <si>
    <t>http://www.oak-bv.admin.ch/fileadmin/dateien/themen/Erhebung_finanzielle_Lage/Calculs_2017.pdf</t>
  </si>
  <si>
    <t>http://www.oak-bv.admin.ch/fileadmin/dateien/Mitteilungen/Bericht_finanzielle_Lage_2017.pdf</t>
  </si>
  <si>
    <t>http://www.oak-bv.admin.ch/fileadmin/dateien/Mitteilungen/Rapport_situation_financiere_2017.pdf</t>
  </si>
  <si>
    <t>Nettorendite</t>
  </si>
  <si>
    <t>Rendement net</t>
  </si>
  <si>
    <t>Aufteilung der Gesamt-Anlagestrategie in Hauptkategorien</t>
  </si>
  <si>
    <t>Aufteilung der Gesamt-Anlagestrategie in Subkategorien</t>
  </si>
  <si>
    <t>Répartition de la stratégie globale de placement entre les principales catégories de placement</t>
  </si>
  <si>
    <t>Répartition de la stratégie globale de placement en sous-catégories</t>
  </si>
  <si>
    <t>Aufteilung der Gesamt-Anlagestrategie</t>
  </si>
  <si>
    <t>Répartition de la stratégie globale de placement</t>
  </si>
  <si>
    <t>Zinsversprechen für zukünftige Rentenleistungen</t>
  </si>
  <si>
    <t>Primauté de cotisations et primauté de prestations pour les prestations de vieillesse</t>
  </si>
  <si>
    <t>Primauté de cotisations</t>
  </si>
  <si>
    <t>Primauté de prestations</t>
  </si>
  <si>
    <t>ø Rémunération des avoirs de vieillesse (primauté de cotisations)</t>
  </si>
  <si>
    <t>Primauté de prestations (part)</t>
  </si>
  <si>
    <t>ø Taux de conversion prévu (dans cinq ans, à l’âge de 65 ans, primauté de cotisations)</t>
  </si>
  <si>
    <t>Chiffres-clés</t>
  </si>
  <si>
    <t>Rémunération des avoirs de vieillesse</t>
  </si>
  <si>
    <t>Promesse d'intérêts relative aux futures rentes</t>
  </si>
  <si>
    <t>unter 60.0%</t>
  </si>
  <si>
    <t>Moins de 60,0 %</t>
  </si>
  <si>
    <t>60.0% – 69.9%</t>
  </si>
  <si>
    <t>70.0% – 79.9%</t>
  </si>
  <si>
    <t>De 60,0 à 69,9 %</t>
  </si>
  <si>
    <t>De 70,0 à 79,9 %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</si>
</sst>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_ * #,##0.000_ ;_ * \-#,##0.000_ ;_ * &quot;-&quot;??_ ;_ @_ "/>
    <numFmt numFmtId="167" formatCode="0.0000%"/>
  </numFmts>
  <fonts count="3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rgb="FF000000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9" tint="-0.249977111117893"/>
      <name val="Arial"/>
      <family val="2"/>
    </font>
    <font>
      <b/>
      <sz val="10"/>
      <color rgb="FF92D050"/>
      <name val="Arial"/>
      <family val="2"/>
    </font>
    <font>
      <b/>
      <sz val="10"/>
      <color theme="3" tint="0.39997558519241921"/>
      <name val="Arial"/>
      <family val="2"/>
    </font>
    <font>
      <sz val="10"/>
      <name val="MS Sans Serif"/>
    </font>
    <font>
      <u/>
      <sz val="11"/>
      <color theme="10"/>
      <name val="Arial"/>
      <family val="2"/>
    </font>
    <font>
      <u/>
      <sz val="8"/>
      <color theme="10"/>
      <name val="Arial"/>
      <family val="2"/>
    </font>
  </fonts>
  <fills count="4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6882E"/>
        <bgColor indexed="64"/>
      </patternFill>
    </fill>
    <fill>
      <patternFill patternType="solid">
        <fgColor rgb="FFF9AD6F"/>
        <bgColor indexed="64"/>
      </patternFill>
    </fill>
    <fill>
      <patternFill patternType="solid">
        <fgColor rgb="FFB6DF89"/>
        <bgColor indexed="64"/>
      </patternFill>
    </fill>
    <fill>
      <patternFill patternType="solid">
        <fgColor rgb="FFCAE8AA"/>
        <bgColor indexed="64"/>
      </patternFill>
    </fill>
    <fill>
      <patternFill patternType="solid">
        <fgColor rgb="FF8AB2E2"/>
        <bgColor indexed="64"/>
      </patternFill>
    </fill>
    <fill>
      <patternFill patternType="solid">
        <fgColor rgb="FFB2CCE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2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5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0" fontId="1" fillId="0" borderId="0"/>
    <xf numFmtId="0" fontId="32" fillId="0" borderId="0"/>
    <xf numFmtId="0" fontId="33" fillId="0" borderId="0" applyNumberFormat="0" applyFill="0" applyBorder="0" applyAlignment="0" applyProtection="0"/>
  </cellStyleXfs>
  <cellXfs count="220">
    <xf numFmtId="0" fontId="0" fillId="0" borderId="0" xfId="0"/>
    <xf numFmtId="0" fontId="18" fillId="0" borderId="0" xfId="0" applyFont="1"/>
    <xf numFmtId="0" fontId="18" fillId="0" borderId="0" xfId="0" applyFont="1" applyFill="1"/>
    <xf numFmtId="0" fontId="26" fillId="0" borderId="0" xfId="44" applyFont="1" applyAlignment="1">
      <alignment horizontal="left" vertical="top"/>
    </xf>
    <xf numFmtId="0" fontId="0" fillId="0" borderId="0" xfId="0" applyFill="1"/>
    <xf numFmtId="0" fontId="25" fillId="0" borderId="0" xfId="44" applyFont="1" applyAlignment="1">
      <alignment horizontal="left" vertical="top"/>
    </xf>
    <xf numFmtId="3" fontId="18" fillId="35" borderId="0" xfId="1" applyNumberFormat="1" applyFont="1" applyFill="1" applyBorder="1"/>
    <xf numFmtId="3" fontId="19" fillId="35" borderId="0" xfId="0" applyNumberFormat="1" applyFont="1" applyFill="1" applyBorder="1"/>
    <xf numFmtId="3" fontId="18" fillId="33" borderId="0" xfId="1" applyNumberFormat="1" applyFont="1" applyFill="1" applyBorder="1"/>
    <xf numFmtId="3" fontId="19" fillId="33" borderId="0" xfId="0" applyNumberFormat="1" applyFont="1" applyFill="1" applyBorder="1"/>
    <xf numFmtId="3" fontId="18" fillId="34" borderId="0" xfId="1" applyNumberFormat="1" applyFont="1" applyFill="1" applyBorder="1"/>
    <xf numFmtId="3" fontId="19" fillId="34" borderId="0" xfId="0" applyNumberFormat="1" applyFont="1" applyFill="1" applyBorder="1"/>
    <xf numFmtId="166" fontId="18" fillId="35" borderId="0" xfId="1" applyNumberFormat="1" applyFont="1" applyFill="1" applyBorder="1"/>
    <xf numFmtId="166" fontId="19" fillId="35" borderId="0" xfId="1" applyNumberFormat="1" applyFont="1" applyFill="1" applyBorder="1"/>
    <xf numFmtId="166" fontId="18" fillId="33" borderId="0" xfId="1" applyNumberFormat="1" applyFont="1" applyFill="1" applyBorder="1"/>
    <xf numFmtId="166" fontId="19" fillId="33" borderId="0" xfId="1" applyNumberFormat="1" applyFont="1" applyFill="1" applyBorder="1"/>
    <xf numFmtId="166" fontId="18" fillId="34" borderId="0" xfId="1" applyNumberFormat="1" applyFont="1" applyFill="1" applyBorder="1"/>
    <xf numFmtId="166" fontId="19" fillId="34" borderId="0" xfId="1" applyNumberFormat="1" applyFont="1" applyFill="1" applyBorder="1"/>
    <xf numFmtId="0" fontId="18" fillId="0" borderId="0" xfId="0" applyFont="1" applyBorder="1"/>
    <xf numFmtId="0" fontId="18" fillId="0" borderId="0" xfId="0" applyFont="1" applyFill="1" applyBorder="1" applyAlignment="1">
      <alignment horizontal="center" vertical="center" wrapText="1"/>
    </xf>
    <xf numFmtId="166" fontId="18" fillId="0" borderId="0" xfId="1" applyNumberFormat="1" applyFont="1" applyFill="1" applyBorder="1" applyAlignment="1">
      <alignment horizontal="center" vertical="center" wrapText="1"/>
    </xf>
    <xf numFmtId="0" fontId="18" fillId="0" borderId="12" xfId="0" applyNumberFormat="1" applyFont="1" applyBorder="1"/>
    <xf numFmtId="0" fontId="18" fillId="0" borderId="13" xfId="0" applyFont="1" applyBorder="1"/>
    <xf numFmtId="166" fontId="18" fillId="0" borderId="13" xfId="1" applyNumberFormat="1" applyFont="1" applyBorder="1"/>
    <xf numFmtId="0" fontId="18" fillId="0" borderId="14" xfId="0" applyFont="1" applyBorder="1"/>
    <xf numFmtId="0" fontId="18" fillId="0" borderId="18" xfId="0" applyNumberFormat="1" applyFont="1" applyBorder="1"/>
    <xf numFmtId="166" fontId="18" fillId="0" borderId="0" xfId="1" applyNumberFormat="1" applyFont="1" applyBorder="1"/>
    <xf numFmtId="0" fontId="18" fillId="0" borderId="19" xfId="0" applyFont="1" applyBorder="1"/>
    <xf numFmtId="0" fontId="18" fillId="0" borderId="18" xfId="0" applyNumberFormat="1" applyFont="1" applyFill="1" applyBorder="1" applyAlignment="1">
      <alignment horizontal="center" vertical="center" wrapText="1"/>
    </xf>
    <xf numFmtId="0" fontId="18" fillId="0" borderId="19" xfId="0" applyFont="1" applyFill="1" applyBorder="1" applyAlignment="1">
      <alignment horizontal="center" vertical="center" wrapText="1"/>
    </xf>
    <xf numFmtId="0" fontId="18" fillId="35" borderId="18" xfId="1" applyNumberFormat="1" applyFont="1" applyFill="1" applyBorder="1"/>
    <xf numFmtId="165" fontId="18" fillId="35" borderId="19" xfId="2" applyNumberFormat="1" applyFont="1" applyFill="1" applyBorder="1"/>
    <xf numFmtId="0" fontId="19" fillId="35" borderId="18" xfId="0" applyNumberFormat="1" applyFont="1" applyFill="1" applyBorder="1"/>
    <xf numFmtId="0" fontId="18" fillId="33" borderId="18" xfId="1" applyNumberFormat="1" applyFont="1" applyFill="1" applyBorder="1"/>
    <xf numFmtId="165" fontId="18" fillId="33" borderId="19" xfId="2" applyNumberFormat="1" applyFont="1" applyFill="1" applyBorder="1"/>
    <xf numFmtId="0" fontId="19" fillId="33" borderId="18" xfId="0" applyNumberFormat="1" applyFont="1" applyFill="1" applyBorder="1"/>
    <xf numFmtId="0" fontId="18" fillId="34" borderId="18" xfId="1" applyNumberFormat="1" applyFont="1" applyFill="1" applyBorder="1"/>
    <xf numFmtId="165" fontId="18" fillId="34" borderId="19" xfId="2" applyNumberFormat="1" applyFont="1" applyFill="1" applyBorder="1"/>
    <xf numFmtId="0" fontId="19" fillId="34" borderId="18" xfId="0" applyNumberFormat="1" applyFont="1" applyFill="1" applyBorder="1"/>
    <xf numFmtId="166" fontId="18" fillId="0" borderId="13" xfId="0" applyNumberFormat="1" applyFont="1" applyBorder="1"/>
    <xf numFmtId="166" fontId="18" fillId="0" borderId="0" xfId="0" applyNumberFormat="1" applyFont="1" applyBorder="1"/>
    <xf numFmtId="0" fontId="18" fillId="40" borderId="18" xfId="1" applyNumberFormat="1" applyFont="1" applyFill="1" applyBorder="1"/>
    <xf numFmtId="3" fontId="18" fillId="40" borderId="0" xfId="1" applyNumberFormat="1" applyFont="1" applyFill="1" applyBorder="1"/>
    <xf numFmtId="166" fontId="18" fillId="40" borderId="0" xfId="1" applyNumberFormat="1" applyFont="1" applyFill="1" applyBorder="1"/>
    <xf numFmtId="165" fontId="18" fillId="40" borderId="19" xfId="2" applyNumberFormat="1" applyFont="1" applyFill="1" applyBorder="1"/>
    <xf numFmtId="0" fontId="19" fillId="40" borderId="18" xfId="0" applyNumberFormat="1" applyFont="1" applyFill="1" applyBorder="1"/>
    <xf numFmtId="166" fontId="19" fillId="40" borderId="0" xfId="0" applyNumberFormat="1" applyFont="1" applyFill="1" applyBorder="1"/>
    <xf numFmtId="0" fontId="18" fillId="38" borderId="18" xfId="1" applyNumberFormat="1" applyFont="1" applyFill="1" applyBorder="1"/>
    <xf numFmtId="3" fontId="18" fillId="38" borderId="0" xfId="1" applyNumberFormat="1" applyFont="1" applyFill="1" applyBorder="1"/>
    <xf numFmtId="166" fontId="18" fillId="38" borderId="0" xfId="1" applyNumberFormat="1" applyFont="1" applyFill="1" applyBorder="1"/>
    <xf numFmtId="165" fontId="18" fillId="38" borderId="19" xfId="2" applyNumberFormat="1" applyFont="1" applyFill="1" applyBorder="1"/>
    <xf numFmtId="0" fontId="19" fillId="38" borderId="18" xfId="0" applyNumberFormat="1" applyFont="1" applyFill="1" applyBorder="1"/>
    <xf numFmtId="166" fontId="19" fillId="38" borderId="0" xfId="0" applyNumberFormat="1" applyFont="1" applyFill="1" applyBorder="1"/>
    <xf numFmtId="0" fontId="18" fillId="36" borderId="18" xfId="1" applyNumberFormat="1" applyFont="1" applyFill="1" applyBorder="1"/>
    <xf numFmtId="3" fontId="18" fillId="36" borderId="0" xfId="1" applyNumberFormat="1" applyFont="1" applyFill="1" applyBorder="1"/>
    <xf numFmtId="166" fontId="18" fillId="36" borderId="0" xfId="1" applyNumberFormat="1" applyFont="1" applyFill="1" applyBorder="1"/>
    <xf numFmtId="165" fontId="18" fillId="36" borderId="19" xfId="2" applyNumberFormat="1" applyFont="1" applyFill="1" applyBorder="1"/>
    <xf numFmtId="0" fontId="19" fillId="36" borderId="18" xfId="0" applyNumberFormat="1" applyFont="1" applyFill="1" applyBorder="1"/>
    <xf numFmtId="166" fontId="19" fillId="36" borderId="0" xfId="0" applyNumberFormat="1" applyFont="1" applyFill="1" applyBorder="1"/>
    <xf numFmtId="0" fontId="18" fillId="0" borderId="15" xfId="0" applyNumberFormat="1" applyFont="1" applyBorder="1"/>
    <xf numFmtId="0" fontId="18" fillId="0" borderId="16" xfId="0" applyFont="1" applyBorder="1"/>
    <xf numFmtId="166" fontId="18" fillId="0" borderId="16" xfId="1" applyNumberFormat="1" applyFont="1" applyBorder="1"/>
    <xf numFmtId="0" fontId="18" fillId="0" borderId="17" xfId="0" applyFont="1" applyBorder="1"/>
    <xf numFmtId="166" fontId="18" fillId="0" borderId="16" xfId="0" applyNumberFormat="1" applyFont="1" applyBorder="1"/>
    <xf numFmtId="165" fontId="19" fillId="35" borderId="19" xfId="2" applyNumberFormat="1" applyFont="1" applyFill="1" applyBorder="1"/>
    <xf numFmtId="3" fontId="19" fillId="40" borderId="0" xfId="0" applyNumberFormat="1" applyFont="1" applyFill="1" applyBorder="1"/>
    <xf numFmtId="165" fontId="19" fillId="40" borderId="19" xfId="2" applyNumberFormat="1" applyFont="1" applyFill="1" applyBorder="1"/>
    <xf numFmtId="165" fontId="19" fillId="33" borderId="19" xfId="2" applyNumberFormat="1" applyFont="1" applyFill="1" applyBorder="1"/>
    <xf numFmtId="3" fontId="19" fillId="38" borderId="0" xfId="0" applyNumberFormat="1" applyFont="1" applyFill="1" applyBorder="1"/>
    <xf numFmtId="165" fontId="19" fillId="38" borderId="19" xfId="2" applyNumberFormat="1" applyFont="1" applyFill="1" applyBorder="1"/>
    <xf numFmtId="165" fontId="19" fillId="34" borderId="19" xfId="2" applyNumberFormat="1" applyFont="1" applyFill="1" applyBorder="1"/>
    <xf numFmtId="3" fontId="19" fillId="36" borderId="0" xfId="0" applyNumberFormat="1" applyFont="1" applyFill="1" applyBorder="1"/>
    <xf numFmtId="165" fontId="19" fillId="36" borderId="19" xfId="2" applyNumberFormat="1" applyFont="1" applyFill="1" applyBorder="1"/>
    <xf numFmtId="3" fontId="18" fillId="0" borderId="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/>
    <xf numFmtId="3" fontId="18" fillId="0" borderId="0" xfId="0" applyNumberFormat="1" applyFont="1" applyBorder="1"/>
    <xf numFmtId="0" fontId="22" fillId="41" borderId="18" xfId="44" applyNumberFormat="1" applyFont="1" applyFill="1" applyBorder="1" applyAlignment="1"/>
    <xf numFmtId="0" fontId="23" fillId="41" borderId="18" xfId="44" applyNumberFormat="1" applyFont="1" applyFill="1" applyBorder="1" applyAlignment="1"/>
    <xf numFmtId="0" fontId="22" fillId="42" borderId="12" xfId="0" applyFont="1" applyFill="1" applyBorder="1"/>
    <xf numFmtId="0" fontId="22" fillId="42" borderId="13" xfId="0" applyFont="1" applyFill="1" applyBorder="1"/>
    <xf numFmtId="0" fontId="22" fillId="42" borderId="14" xfId="0" applyFont="1" applyFill="1" applyBorder="1"/>
    <xf numFmtId="0" fontId="22" fillId="42" borderId="18" xfId="0" applyFont="1" applyFill="1" applyBorder="1"/>
    <xf numFmtId="0" fontId="22" fillId="42" borderId="0" xfId="0" applyFont="1" applyFill="1" applyBorder="1"/>
    <xf numFmtId="0" fontId="22" fillId="42" borderId="19" xfId="0" applyFont="1" applyFill="1" applyBorder="1"/>
    <xf numFmtId="0" fontId="22" fillId="42" borderId="15" xfId="0" applyFont="1" applyFill="1" applyBorder="1"/>
    <xf numFmtId="0" fontId="22" fillId="42" borderId="16" xfId="0" applyFont="1" applyFill="1" applyBorder="1"/>
    <xf numFmtId="0" fontId="22" fillId="42" borderId="17" xfId="0" applyFont="1" applyFill="1" applyBorder="1"/>
    <xf numFmtId="0" fontId="22" fillId="0" borderId="10" xfId="47" applyFill="1" applyBorder="1" applyAlignment="1">
      <alignment vertical="top" wrapText="1"/>
    </xf>
    <xf numFmtId="0" fontId="22" fillId="43" borderId="11" xfId="47" applyFill="1" applyBorder="1" applyAlignment="1">
      <alignment vertical="top"/>
    </xf>
    <xf numFmtId="0" fontId="1" fillId="0" borderId="0" xfId="48"/>
    <xf numFmtId="0" fontId="22" fillId="0" borderId="23" xfId="47" applyFill="1" applyBorder="1" applyAlignment="1">
      <alignment vertical="top" wrapText="1"/>
    </xf>
    <xf numFmtId="0" fontId="22" fillId="43" borderId="24" xfId="47" applyFill="1" applyBorder="1" applyAlignment="1">
      <alignment vertical="top"/>
    </xf>
    <xf numFmtId="0" fontId="22" fillId="0" borderId="0" xfId="47" applyAlignment="1">
      <alignment vertical="top" wrapText="1"/>
    </xf>
    <xf numFmtId="0" fontId="22" fillId="43" borderId="0" xfId="47" applyFill="1" applyAlignment="1">
      <alignment vertical="top" wrapText="1"/>
    </xf>
    <xf numFmtId="0" fontId="22" fillId="43" borderId="25" xfId="47" applyFill="1" applyBorder="1" applyAlignment="1" applyProtection="1">
      <alignment vertical="top" wrapText="1"/>
      <protection locked="0"/>
    </xf>
    <xf numFmtId="0" fontId="16" fillId="0" borderId="0" xfId="48" applyFont="1"/>
    <xf numFmtId="0" fontId="1" fillId="0" borderId="0" xfId="48" applyFont="1"/>
    <xf numFmtId="0" fontId="33" fillId="0" borderId="0" xfId="50"/>
    <xf numFmtId="0" fontId="18" fillId="0" borderId="0" xfId="0" quotePrefix="1" applyFont="1"/>
    <xf numFmtId="0" fontId="0" fillId="0" borderId="0" xfId="0" applyAlignment="1"/>
    <xf numFmtId="0" fontId="0" fillId="0" borderId="0" xfId="0" applyFont="1"/>
    <xf numFmtId="167" fontId="18" fillId="0" borderId="0" xfId="0" quotePrefix="1" applyNumberFormat="1" applyFont="1"/>
    <xf numFmtId="9" fontId="18" fillId="0" borderId="0" xfId="0" applyNumberFormat="1" applyFont="1" applyAlignment="1">
      <alignment horizontal="left"/>
    </xf>
    <xf numFmtId="9" fontId="18" fillId="0" borderId="0" xfId="0" quotePrefix="1" applyNumberFormat="1" applyFont="1" applyAlignment="1">
      <alignment horizontal="left"/>
    </xf>
    <xf numFmtId="10" fontId="18" fillId="0" borderId="0" xfId="0" quotePrefix="1" applyNumberFormat="1" applyFont="1"/>
    <xf numFmtId="0" fontId="0" fillId="0" borderId="0" xfId="48" applyFont="1"/>
    <xf numFmtId="0" fontId="0" fillId="0" borderId="0" xfId="0" quotePrefix="1" applyFont="1"/>
    <xf numFmtId="0" fontId="18" fillId="0" borderId="0" xfId="48" applyFont="1"/>
    <xf numFmtId="0" fontId="18" fillId="0" borderId="0" xfId="0" quotePrefix="1" applyNumberFormat="1" applyFont="1"/>
    <xf numFmtId="0" fontId="27" fillId="0" borderId="20" xfId="0" applyNumberFormat="1" applyFont="1" applyBorder="1"/>
    <xf numFmtId="0" fontId="18" fillId="0" borderId="21" xfId="0" applyNumberFormat="1" applyFont="1" applyBorder="1"/>
    <xf numFmtId="0" fontId="19" fillId="0" borderId="21" xfId="0" applyNumberFormat="1" applyFont="1" applyBorder="1"/>
    <xf numFmtId="0" fontId="18" fillId="0" borderId="22" xfId="0" applyNumberFormat="1" applyFont="1" applyBorder="1"/>
    <xf numFmtId="0" fontId="31" fillId="0" borderId="21" xfId="0" applyNumberFormat="1" applyFont="1" applyBorder="1"/>
    <xf numFmtId="0" fontId="25" fillId="0" borderId="21" xfId="44" applyNumberFormat="1" applyFont="1" applyBorder="1" applyAlignment="1">
      <alignment horizontal="left" vertical="top"/>
    </xf>
    <xf numFmtId="0" fontId="24" fillId="0" borderId="21" xfId="44" applyNumberFormat="1" applyFont="1" applyBorder="1" applyAlignment="1">
      <alignment horizontal="left" vertical="top"/>
    </xf>
    <xf numFmtId="0" fontId="30" fillId="0" borderId="21" xfId="0" applyNumberFormat="1" applyFont="1" applyBorder="1"/>
    <xf numFmtId="0" fontId="29" fillId="0" borderId="21" xfId="0" applyNumberFormat="1" applyFont="1" applyBorder="1"/>
    <xf numFmtId="0" fontId="25" fillId="0" borderId="21" xfId="44" applyNumberFormat="1" applyFont="1" applyBorder="1" applyAlignment="1">
      <alignment horizontal="left" vertical="top" wrapText="1"/>
    </xf>
    <xf numFmtId="0" fontId="18" fillId="0" borderId="21" xfId="0" applyNumberFormat="1" applyFont="1" applyBorder="1" applyAlignment="1">
      <alignment wrapText="1"/>
    </xf>
    <xf numFmtId="0" fontId="27" fillId="0" borderId="0" xfId="0" applyFont="1" applyBorder="1"/>
    <xf numFmtId="0" fontId="34" fillId="0" borderId="18" xfId="50" applyNumberFormat="1" applyFont="1" applyBorder="1"/>
    <xf numFmtId="3" fontId="18" fillId="41" borderId="0" xfId="0" applyNumberFormat="1" applyFont="1" applyFill="1" applyBorder="1" applyAlignment="1"/>
    <xf numFmtId="166" fontId="22" fillId="41" borderId="0" xfId="44" applyNumberFormat="1" applyFont="1" applyFill="1" applyBorder="1" applyAlignment="1"/>
    <xf numFmtId="165" fontId="18" fillId="41" borderId="19" xfId="2" applyNumberFormat="1" applyFont="1" applyFill="1" applyBorder="1" applyAlignment="1"/>
    <xf numFmtId="3" fontId="19" fillId="41" borderId="0" xfId="0" applyNumberFormat="1" applyFont="1" applyFill="1" applyBorder="1" applyAlignment="1"/>
    <xf numFmtId="166" fontId="23" fillId="41" borderId="0" xfId="44" applyNumberFormat="1" applyFont="1" applyFill="1" applyBorder="1" applyAlignment="1"/>
    <xf numFmtId="165" fontId="19" fillId="41" borderId="19" xfId="2" applyNumberFormat="1" applyFont="1" applyFill="1" applyBorder="1" applyAlignment="1"/>
    <xf numFmtId="0" fontId="22" fillId="39" borderId="18" xfId="44" applyNumberFormat="1" applyFont="1" applyFill="1" applyBorder="1" applyAlignment="1"/>
    <xf numFmtId="3" fontId="18" fillId="39" borderId="0" xfId="0" applyNumberFormat="1" applyFont="1" applyFill="1" applyBorder="1" applyAlignment="1"/>
    <xf numFmtId="166" fontId="22" fillId="39" borderId="0" xfId="44" applyNumberFormat="1" applyFont="1" applyFill="1" applyBorder="1" applyAlignment="1"/>
    <xf numFmtId="165" fontId="18" fillId="39" borderId="19" xfId="2" applyNumberFormat="1" applyFont="1" applyFill="1" applyBorder="1" applyAlignment="1"/>
    <xf numFmtId="0" fontId="23" fillId="39" borderId="18" xfId="44" applyNumberFormat="1" applyFont="1" applyFill="1" applyBorder="1" applyAlignment="1"/>
    <xf numFmtId="3" fontId="19" fillId="39" borderId="0" xfId="0" applyNumberFormat="1" applyFont="1" applyFill="1" applyBorder="1" applyAlignment="1"/>
    <xf numFmtId="166" fontId="23" fillId="39" borderId="0" xfId="44" applyNumberFormat="1" applyFont="1" applyFill="1" applyBorder="1" applyAlignment="1"/>
    <xf numFmtId="165" fontId="19" fillId="39" borderId="19" xfId="2" applyNumberFormat="1" applyFont="1" applyFill="1" applyBorder="1" applyAlignment="1"/>
    <xf numFmtId="0" fontId="22" fillId="37" borderId="18" xfId="44" applyNumberFormat="1" applyFont="1" applyFill="1" applyBorder="1" applyAlignment="1"/>
    <xf numFmtId="3" fontId="18" fillId="37" borderId="0" xfId="0" applyNumberFormat="1" applyFont="1" applyFill="1" applyBorder="1" applyAlignment="1"/>
    <xf numFmtId="166" fontId="22" fillId="37" borderId="0" xfId="44" applyNumberFormat="1" applyFont="1" applyFill="1" applyBorder="1" applyAlignment="1"/>
    <xf numFmtId="165" fontId="18" fillId="37" borderId="19" xfId="2" applyNumberFormat="1" applyFont="1" applyFill="1" applyBorder="1" applyAlignment="1"/>
    <xf numFmtId="0" fontId="23" fillId="37" borderId="18" xfId="44" applyNumberFormat="1" applyFont="1" applyFill="1" applyBorder="1" applyAlignment="1"/>
    <xf numFmtId="3" fontId="19" fillId="37" borderId="0" xfId="0" applyNumberFormat="1" applyFont="1" applyFill="1" applyBorder="1" applyAlignment="1"/>
    <xf numFmtId="166" fontId="23" fillId="37" borderId="0" xfId="44" applyNumberFormat="1" applyFont="1" applyFill="1" applyBorder="1" applyAlignment="1"/>
    <xf numFmtId="165" fontId="19" fillId="37" borderId="19" xfId="2" applyNumberFormat="1" applyFont="1" applyFill="1" applyBorder="1" applyAlignment="1"/>
    <xf numFmtId="0" fontId="28" fillId="0" borderId="18" xfId="0" applyFont="1" applyBorder="1" applyAlignment="1"/>
    <xf numFmtId="0" fontId="28" fillId="0" borderId="0" xfId="0" applyFont="1" applyBorder="1" applyAlignment="1"/>
    <xf numFmtId="164" fontId="18" fillId="0" borderId="13" xfId="1" applyNumberFormat="1" applyFont="1" applyBorder="1"/>
    <xf numFmtId="164" fontId="18" fillId="0" borderId="0" xfId="1" applyNumberFormat="1" applyFont="1" applyBorder="1"/>
    <xf numFmtId="164" fontId="18" fillId="0" borderId="0" xfId="1" applyNumberFormat="1" applyFont="1" applyFill="1" applyBorder="1" applyAlignment="1">
      <alignment horizontal="center" vertical="center" wrapText="1"/>
    </xf>
    <xf numFmtId="164" fontId="18" fillId="0" borderId="16" xfId="1" applyNumberFormat="1" applyFont="1" applyBorder="1"/>
    <xf numFmtId="164" fontId="18" fillId="35" borderId="0" xfId="1" applyNumberFormat="1" applyFont="1" applyFill="1" applyBorder="1"/>
    <xf numFmtId="164" fontId="19" fillId="35" borderId="0" xfId="1" applyNumberFormat="1" applyFont="1" applyFill="1" applyBorder="1"/>
    <xf numFmtId="164" fontId="18" fillId="33" borderId="0" xfId="1" applyNumberFormat="1" applyFont="1" applyFill="1" applyBorder="1"/>
    <xf numFmtId="164" fontId="19" fillId="33" borderId="0" xfId="1" applyNumberFormat="1" applyFont="1" applyFill="1" applyBorder="1"/>
    <xf numFmtId="164" fontId="18" fillId="34" borderId="0" xfId="1" applyNumberFormat="1" applyFont="1" applyFill="1" applyBorder="1"/>
    <xf numFmtId="164" fontId="19" fillId="34" borderId="0" xfId="1" applyNumberFormat="1" applyFont="1" applyFill="1" applyBorder="1"/>
    <xf numFmtId="164" fontId="19" fillId="0" borderId="0" xfId="2" applyNumberFormat="1" applyFont="1" applyBorder="1"/>
    <xf numFmtId="164" fontId="18" fillId="0" borderId="13" xfId="0" applyNumberFormat="1" applyFont="1" applyBorder="1"/>
    <xf numFmtId="164" fontId="18" fillId="0" borderId="0" xfId="0" applyNumberFormat="1" applyFont="1" applyBorder="1"/>
    <xf numFmtId="164" fontId="18" fillId="0" borderId="16" xfId="0" applyNumberFormat="1" applyFont="1" applyBorder="1"/>
    <xf numFmtId="164" fontId="18" fillId="40" borderId="0" xfId="1" applyNumberFormat="1" applyFont="1" applyFill="1" applyBorder="1"/>
    <xf numFmtId="164" fontId="19" fillId="40" borderId="0" xfId="0" applyNumberFormat="1" applyFont="1" applyFill="1" applyBorder="1"/>
    <xf numFmtId="164" fontId="18" fillId="38" borderId="0" xfId="1" applyNumberFormat="1" applyFont="1" applyFill="1" applyBorder="1"/>
    <xf numFmtId="164" fontId="19" fillId="38" borderId="0" xfId="0" applyNumberFormat="1" applyFont="1" applyFill="1" applyBorder="1"/>
    <xf numFmtId="164" fontId="18" fillId="36" borderId="0" xfId="1" applyNumberFormat="1" applyFont="1" applyFill="1" applyBorder="1"/>
    <xf numFmtId="164" fontId="19" fillId="36" borderId="0" xfId="0" applyNumberFormat="1" applyFont="1" applyFill="1" applyBorder="1"/>
    <xf numFmtId="164" fontId="18" fillId="0" borderId="0" xfId="0" applyNumberFormat="1" applyFont="1"/>
    <xf numFmtId="164" fontId="22" fillId="41" borderId="0" xfId="44" applyNumberFormat="1" applyFont="1" applyFill="1" applyBorder="1" applyAlignment="1"/>
    <xf numFmtId="164" fontId="23" fillId="41" borderId="0" xfId="44" applyNumberFormat="1" applyFont="1" applyFill="1" applyBorder="1" applyAlignment="1"/>
    <xf numFmtId="164" fontId="22" fillId="39" borderId="0" xfId="44" applyNumberFormat="1" applyFont="1" applyFill="1" applyBorder="1" applyAlignment="1"/>
    <xf numFmtId="164" fontId="23" fillId="39" borderId="0" xfId="44" applyNumberFormat="1" applyFont="1" applyFill="1" applyBorder="1" applyAlignment="1"/>
    <xf numFmtId="164" fontId="22" fillId="37" borderId="0" xfId="44" applyNumberFormat="1" applyFont="1" applyFill="1" applyBorder="1" applyAlignment="1"/>
    <xf numFmtId="164" fontId="23" fillId="37" borderId="0" xfId="44" applyNumberFormat="1" applyFont="1" applyFill="1" applyBorder="1" applyAlignment="1"/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40" borderId="18" xfId="1" applyNumberFormat="1" applyFont="1" applyFill="1" applyBorder="1" applyAlignment="1"/>
    <xf numFmtId="3" fontId="18" fillId="40" borderId="0" xfId="1" applyNumberFormat="1" applyFont="1" applyFill="1" applyBorder="1" applyAlignment="1"/>
    <xf numFmtId="3" fontId="18" fillId="38" borderId="18" xfId="1" applyNumberFormat="1" applyFont="1" applyFill="1" applyBorder="1" applyAlignment="1"/>
    <xf numFmtId="3" fontId="18" fillId="38" borderId="0" xfId="1" applyNumberFormat="1" applyFont="1" applyFill="1" applyBorder="1" applyAlignment="1"/>
    <xf numFmtId="3" fontId="18" fillId="36" borderId="18" xfId="1" applyNumberFormat="1" applyFont="1" applyFill="1" applyBorder="1" applyAlignment="1"/>
    <xf numFmtId="3" fontId="18" fillId="36" borderId="0" xfId="1" applyNumberFormat="1" applyFont="1" applyFill="1" applyBorder="1" applyAlignment="1"/>
    <xf numFmtId="3" fontId="18" fillId="41" borderId="18" xfId="0" applyNumberFormat="1" applyFont="1" applyFill="1" applyBorder="1" applyAlignment="1"/>
    <xf numFmtId="3" fontId="18" fillId="41" borderId="19" xfId="0" applyNumberFormat="1" applyFont="1" applyFill="1" applyBorder="1" applyAlignment="1"/>
    <xf numFmtId="3" fontId="18" fillId="39" borderId="18" xfId="0" applyNumberFormat="1" applyFont="1" applyFill="1" applyBorder="1" applyAlignment="1"/>
    <xf numFmtId="3" fontId="18" fillId="39" borderId="19" xfId="0" applyNumberFormat="1" applyFont="1" applyFill="1" applyBorder="1" applyAlignment="1"/>
    <xf numFmtId="3" fontId="18" fillId="37" borderId="18" xfId="0" applyNumberFormat="1" applyFont="1" applyFill="1" applyBorder="1" applyAlignment="1"/>
    <xf numFmtId="3" fontId="18" fillId="37" borderId="19" xfId="0" applyNumberFormat="1" applyFont="1" applyFill="1" applyBorder="1" applyAlignment="1"/>
    <xf numFmtId="0" fontId="34" fillId="0" borderId="21" xfId="50" applyNumberFormat="1" applyFont="1" applyBorder="1"/>
    <xf numFmtId="0" fontId="0" fillId="0" borderId="18" xfId="0" applyBorder="1"/>
    <xf numFmtId="0" fontId="0" fillId="0" borderId="0" xfId="0" applyBorder="1"/>
    <xf numFmtId="0" fontId="0" fillId="0" borderId="19" xfId="0" applyBorder="1"/>
    <xf numFmtId="0" fontId="0" fillId="0" borderId="21" xfId="0" applyBorder="1"/>
    <xf numFmtId="3" fontId="0" fillId="0" borderId="0" xfId="0" applyNumberFormat="1" applyBorder="1"/>
    <xf numFmtId="0" fontId="27" fillId="0" borderId="20" xfId="0" applyNumberFormat="1" applyFont="1" applyFill="1" applyBorder="1"/>
    <xf numFmtId="0" fontId="34" fillId="0" borderId="18" xfId="50" applyNumberFormat="1" applyFont="1" applyFill="1" applyBorder="1"/>
    <xf numFmtId="0" fontId="18" fillId="0" borderId="21" xfId="0" applyNumberFormat="1" applyFont="1" applyFill="1" applyBorder="1"/>
    <xf numFmtId="0" fontId="19" fillId="0" borderId="21" xfId="0" applyNumberFormat="1" applyFont="1" applyFill="1" applyBorder="1"/>
    <xf numFmtId="0" fontId="18" fillId="0" borderId="22" xfId="0" applyNumberFormat="1" applyFont="1" applyFill="1" applyBorder="1"/>
    <xf numFmtId="0" fontId="31" fillId="0" borderId="21" xfId="0" applyNumberFormat="1" applyFont="1" applyFill="1" applyBorder="1"/>
    <xf numFmtId="0" fontId="25" fillId="0" borderId="21" xfId="44" applyNumberFormat="1" applyFont="1" applyFill="1" applyBorder="1" applyAlignment="1">
      <alignment horizontal="left" vertical="top"/>
    </xf>
    <xf numFmtId="0" fontId="24" fillId="0" borderId="21" xfId="44" applyNumberFormat="1" applyFont="1" applyFill="1" applyBorder="1" applyAlignment="1">
      <alignment horizontal="left" vertical="top"/>
    </xf>
    <xf numFmtId="0" fontId="30" fillId="0" borderId="21" xfId="0" applyNumberFormat="1" applyFont="1" applyFill="1" applyBorder="1"/>
    <xf numFmtId="0" fontId="29" fillId="0" borderId="21" xfId="0" applyNumberFormat="1" applyFont="1" applyFill="1" applyBorder="1"/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0" fontId="28" fillId="0" borderId="18" xfId="0" applyFont="1" applyBorder="1" applyAlignment="1">
      <alignment horizontal="center"/>
    </xf>
    <xf numFmtId="0" fontId="28" fillId="0" borderId="0" xfId="0" applyFont="1" applyBorder="1" applyAlignment="1">
      <alignment horizontal="center"/>
    </xf>
    <xf numFmtId="0" fontId="28" fillId="0" borderId="19" xfId="0" applyFont="1" applyBorder="1" applyAlignment="1">
      <alignment horizontal="center"/>
    </xf>
    <xf numFmtId="3" fontId="18" fillId="39" borderId="18" xfId="0" applyNumberFormat="1" applyFont="1" applyFill="1" applyBorder="1" applyAlignment="1">
      <alignment horizontal="center"/>
    </xf>
    <xf numFmtId="3" fontId="18" fillId="39" borderId="0" xfId="0" applyNumberFormat="1" applyFont="1" applyFill="1" applyBorder="1" applyAlignment="1">
      <alignment horizontal="center"/>
    </xf>
    <xf numFmtId="3" fontId="18" fillId="39" borderId="19" xfId="0" applyNumberFormat="1" applyFont="1" applyFill="1" applyBorder="1" applyAlignment="1">
      <alignment horizontal="center"/>
    </xf>
    <xf numFmtId="3" fontId="18" fillId="41" borderId="18" xfId="0" applyNumberFormat="1" applyFont="1" applyFill="1" applyBorder="1" applyAlignment="1">
      <alignment horizontal="center"/>
    </xf>
    <xf numFmtId="3" fontId="18" fillId="41" borderId="0" xfId="0" applyNumberFormat="1" applyFont="1" applyFill="1" applyBorder="1" applyAlignment="1">
      <alignment horizontal="center"/>
    </xf>
    <xf numFmtId="3" fontId="18" fillId="41" borderId="19" xfId="0" applyNumberFormat="1" applyFont="1" applyFill="1" applyBorder="1" applyAlignment="1">
      <alignment horizontal="center"/>
    </xf>
    <xf numFmtId="3" fontId="18" fillId="37" borderId="18" xfId="0" applyNumberFormat="1" applyFont="1" applyFill="1" applyBorder="1" applyAlignment="1">
      <alignment horizontal="center"/>
    </xf>
    <xf numFmtId="3" fontId="18" fillId="37" borderId="0" xfId="0" applyNumberFormat="1" applyFont="1" applyFill="1" applyBorder="1" applyAlignment="1">
      <alignment horizontal="center"/>
    </xf>
    <xf numFmtId="3" fontId="18" fillId="37" borderId="19" xfId="0" applyNumberFormat="1" applyFont="1" applyFill="1" applyBorder="1" applyAlignment="1">
      <alignment horizontal="center"/>
    </xf>
  </cellXfs>
  <cellStyles count="51">
    <cellStyle name="20 % - Akzent1" xfId="21" builtinId="30" customBuiltin="1"/>
    <cellStyle name="20 % - Akzent2" xfId="25" builtinId="34" customBuiltin="1"/>
    <cellStyle name="20 % - Akzent3" xfId="29" builtinId="38" customBuiltin="1"/>
    <cellStyle name="20 % - Akzent4" xfId="33" builtinId="42" customBuiltin="1"/>
    <cellStyle name="20 % - Akzent5" xfId="37" builtinId="46" customBuiltin="1"/>
    <cellStyle name="20 % - Akzent6" xfId="41" builtinId="50" customBuiltin="1"/>
    <cellStyle name="40 % - Akzent1" xfId="22" builtinId="31" customBuiltin="1"/>
    <cellStyle name="40 % - Akzent2" xfId="26" builtinId="35" customBuiltin="1"/>
    <cellStyle name="40 % - Akzent3" xfId="30" builtinId="39" customBuiltin="1"/>
    <cellStyle name="40 % - Akzent4" xfId="34" builtinId="43" customBuiltin="1"/>
    <cellStyle name="40 % - Akzent5" xfId="38" builtinId="47" customBuiltin="1"/>
    <cellStyle name="40 % - Akzent6" xfId="42" builtinId="51" customBuiltin="1"/>
    <cellStyle name="60 % - Akzent1" xfId="23" builtinId="32" customBuiltin="1"/>
    <cellStyle name="60 % - Akzent2" xfId="27" builtinId="36" customBuiltin="1"/>
    <cellStyle name="60 % - Akzent3" xfId="31" builtinId="40" customBuiltin="1"/>
    <cellStyle name="60 % - Akzent4" xfId="35" builtinId="44" customBuiltin="1"/>
    <cellStyle name="60 % - Akzent5" xfId="39" builtinId="48" customBuiltin="1"/>
    <cellStyle name="60 % - Akzent6" xfId="43" builtinId="52" customBuiltin="1"/>
    <cellStyle name="Akzent1" xfId="20" builtinId="29" customBuiltin="1"/>
    <cellStyle name="Akzent2" xfId="24" builtinId="33" customBuiltin="1"/>
    <cellStyle name="Akzent3" xfId="28" builtinId="37" customBuiltin="1"/>
    <cellStyle name="Akzent4" xfId="32" builtinId="41" customBuiltin="1"/>
    <cellStyle name="Akzent5" xfId="36" builtinId="45" customBuiltin="1"/>
    <cellStyle name="Akzent6" xfId="40" builtinId="49" customBuiltin="1"/>
    <cellStyle name="Ausgabe" xfId="12" builtinId="21" customBuiltin="1"/>
    <cellStyle name="Berechnung" xfId="13" builtinId="22" customBuiltin="1"/>
    <cellStyle name="Eingabe" xfId="11" builtinId="20" customBuiltin="1"/>
    <cellStyle name="Ergebnis" xfId="19" builtinId="25" customBuiltin="1"/>
    <cellStyle name="Erklärender Text" xfId="18" builtinId="53" customBuiltin="1"/>
    <cellStyle name="Gut" xfId="8" builtinId="26" customBuiltin="1"/>
    <cellStyle name="Komma" xfId="1" builtinId="3"/>
    <cellStyle name="Link" xfId="50" builtinId="8"/>
    <cellStyle name="Neutral" xfId="10" builtinId="28" customBuiltin="1"/>
    <cellStyle name="Normal 2" xfId="48"/>
    <cellStyle name="Notiz" xfId="17" builtinId="10" customBuiltin="1"/>
    <cellStyle name="Percent 2" xfId="46"/>
    <cellStyle name="Prozent" xfId="2" builtinId="5"/>
    <cellStyle name="Prozent 2" xfId="45"/>
    <cellStyle name="Schlecht" xfId="9" builtinId="27" customBuiltin="1"/>
    <cellStyle name="Standard" xfId="0" builtinId="0"/>
    <cellStyle name="Standard 2" xfId="44"/>
    <cellStyle name="Standard 2 2" xfId="47"/>
    <cellStyle name="Standard 3" xfId="49"/>
    <cellStyle name="Überschrift" xfId="3" builtinId="15" customBuiltin="1"/>
    <cellStyle name="Überschrift 1" xfId="4" builtinId="16" customBuiltin="1"/>
    <cellStyle name="Überschrift 2" xfId="5" builtinId="17" customBuiltin="1"/>
    <cellStyle name="Überschrift 3" xfId="6" builtinId="18" customBuiltin="1"/>
    <cellStyle name="Überschrift 4" xfId="7" builtinId="19" customBuiltin="1"/>
    <cellStyle name="Verknüpfte Zelle" xfId="14" builtinId="24" customBuiltin="1"/>
    <cellStyle name="Warnender Text" xfId="16" builtinId="11" customBuiltin="1"/>
    <cellStyle name="Zelle überprüfen" xfId="15" builtinId="23" customBuiltin="1"/>
  </cellStyles>
  <dxfs count="0"/>
  <tableStyles count="0" defaultTableStyle="TableStyleMedium9" defaultPivotStyle="PivotStyleLight16"/>
  <colors>
    <mruColors>
      <color rgb="FFF6882E"/>
      <color rgb="FFB2CCEC"/>
      <color rgb="FF8AB2E2"/>
      <color rgb="FFCAE8AA"/>
      <color rgb="FFB6DF89"/>
      <color rgb="FFF9AD6F"/>
      <color rgb="FF99CC00"/>
      <color rgb="FF6699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1.xml"/><Relationship Id="rId37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List" dx="16" fmlaLink="Translation!$B$5" fmlaRange="Translation!$A$1:$A$2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6</xdr:row>
          <xdr:rowOff>47625</xdr:rowOff>
        </xdr:from>
        <xdr:to>
          <xdr:col>8</xdr:col>
          <xdr:colOff>257175</xdr:colOff>
          <xdr:row>7</xdr:row>
          <xdr:rowOff>152400</xdr:rowOff>
        </xdr:to>
        <xdr:sp macro="" textlink="">
          <xdr:nvSpPr>
            <xdr:cNvPr id="82945" name="List Box 1" hidden="1">
              <a:extLst>
                <a:ext uri="{63B3BB69-23CF-44E3-9099-C40C66FF867C}">
                  <a14:compatExt spid="_x0000_s829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emien/OAK-BV/Bereich%20Risk%20Management/Bericht%20finanzielle%20Lage%202015/Auswertungen/Daten%202012-2015%20(Stand%202016-03-16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ans_all (2012)"/>
      <sheetName val="Means_Basis (2012)"/>
      <sheetName val="Means_Bilanzsumme (2012)"/>
      <sheetName val="Means_Anlage (2012)"/>
      <sheetName val="Means_Quantile (2012)"/>
      <sheetName val="Sanierungsmassnahmen (2012)"/>
      <sheetName val="Means_all (2013)"/>
      <sheetName val="Means_Basis (2013)"/>
      <sheetName val="Means_Bilanzsumme (2013)"/>
      <sheetName val="Means_Anlage_Neu (2013)"/>
      <sheetName val="Means_Anlage (2013)"/>
      <sheetName val="Means_Quantile (2013)"/>
      <sheetName val="Sanierungsmassnahmen (2013)"/>
      <sheetName val="Means_all"/>
      <sheetName val="Means_Basis"/>
      <sheetName val="Means_Bilanzsumme"/>
      <sheetName val="means_vorsorgekapital"/>
      <sheetName val="Means_Anlage_Neu"/>
      <sheetName val="Means_Anlage"/>
      <sheetName val="Means_Quantile"/>
      <sheetName val="Sanierungsmassnahmen"/>
      <sheetName val="diff_tech_zins"/>
      <sheetName val="means_all 2015"/>
      <sheetName val="means_basis 2015"/>
      <sheetName val="means_bilanzsumme 2015"/>
      <sheetName val="means_vorsorgekapital 2015"/>
      <sheetName val="means_anlage_neu 2015"/>
      <sheetName val="means_anlage 2015"/>
      <sheetName val="Durchschnitte 2012"/>
      <sheetName val="Daten 2012"/>
      <sheetName val="2013"/>
      <sheetName val="2014"/>
      <sheetName val="2015"/>
      <sheetName val="Grundlage Subkategorien Anlagen"/>
      <sheetName val="11, 12, 13"/>
      <sheetName val="18"/>
      <sheetName val="Performance"/>
      <sheetName val="Control"/>
      <sheetName val="0"/>
      <sheetName val="6"/>
      <sheetName val="7, 9"/>
      <sheetName val="8, 10"/>
      <sheetName val="30"/>
      <sheetName val="35"/>
      <sheetName val="28"/>
      <sheetName val="1"/>
      <sheetName val="2"/>
      <sheetName val="3"/>
      <sheetName val="4"/>
      <sheetName val="5"/>
      <sheetName val="16"/>
      <sheetName val="17"/>
      <sheetName val="20"/>
      <sheetName val="21"/>
      <sheetName val="22"/>
      <sheetName val="23"/>
      <sheetName val="24"/>
      <sheetName val="25"/>
      <sheetName val="27"/>
      <sheetName val="32"/>
      <sheetName val="36"/>
      <sheetName val="37"/>
      <sheetName val="38"/>
      <sheetName val="39"/>
      <sheetName val="40"/>
      <sheetName val="19"/>
      <sheetName val="15"/>
      <sheetName val="26"/>
      <sheetName val="29"/>
      <sheetName val="31"/>
      <sheetName val="33"/>
      <sheetName val="Transl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36">
          <cell r="B36">
            <v>1845</v>
          </cell>
        </row>
      </sheetData>
      <sheetData sheetId="37"/>
      <sheetData sheetId="38"/>
      <sheetData sheetId="39">
        <row r="36">
          <cell r="B36">
            <v>1845</v>
          </cell>
        </row>
      </sheetData>
      <sheetData sheetId="40"/>
      <sheetData sheetId="41"/>
      <sheetData sheetId="42"/>
      <sheetData sheetId="43">
        <row r="36">
          <cell r="B36">
            <v>37</v>
          </cell>
        </row>
      </sheetData>
      <sheetData sheetId="44"/>
      <sheetData sheetId="45">
        <row r="36">
          <cell r="B36">
            <v>1845</v>
          </cell>
        </row>
      </sheetData>
      <sheetData sheetId="46">
        <row r="36">
          <cell r="B36">
            <v>1845</v>
          </cell>
        </row>
      </sheetData>
      <sheetData sheetId="47">
        <row r="36">
          <cell r="B36">
            <v>1760</v>
          </cell>
        </row>
      </sheetData>
      <sheetData sheetId="48">
        <row r="36">
          <cell r="B36">
            <v>1845</v>
          </cell>
        </row>
      </sheetData>
      <sheetData sheetId="49">
        <row r="36">
          <cell r="B36">
            <v>1845</v>
          </cell>
        </row>
      </sheetData>
      <sheetData sheetId="50">
        <row r="36">
          <cell r="B36">
            <v>1845</v>
          </cell>
        </row>
      </sheetData>
      <sheetData sheetId="51">
        <row r="36">
          <cell r="B36">
            <v>1845</v>
          </cell>
        </row>
      </sheetData>
      <sheetData sheetId="52">
        <row r="36">
          <cell r="B36">
            <v>1845</v>
          </cell>
        </row>
      </sheetData>
      <sheetData sheetId="53">
        <row r="36">
          <cell r="B36">
            <v>1845</v>
          </cell>
        </row>
      </sheetData>
      <sheetData sheetId="54">
        <row r="36">
          <cell r="B36">
            <v>1845</v>
          </cell>
        </row>
      </sheetData>
      <sheetData sheetId="55">
        <row r="36">
          <cell r="B36">
            <v>1845</v>
          </cell>
        </row>
      </sheetData>
      <sheetData sheetId="56">
        <row r="36">
          <cell r="B36">
            <v>1845</v>
          </cell>
        </row>
      </sheetData>
      <sheetData sheetId="57">
        <row r="36">
          <cell r="B36">
            <v>1845</v>
          </cell>
        </row>
      </sheetData>
      <sheetData sheetId="58">
        <row r="36">
          <cell r="B36">
            <v>1845</v>
          </cell>
        </row>
      </sheetData>
      <sheetData sheetId="59">
        <row r="36">
          <cell r="B36">
            <v>1845</v>
          </cell>
        </row>
      </sheetData>
      <sheetData sheetId="60">
        <row r="36">
          <cell r="B36">
            <v>1845</v>
          </cell>
        </row>
      </sheetData>
      <sheetData sheetId="61">
        <row r="36">
          <cell r="B36">
            <v>1845</v>
          </cell>
        </row>
      </sheetData>
      <sheetData sheetId="62">
        <row r="36">
          <cell r="B36">
            <v>1845</v>
          </cell>
        </row>
      </sheetData>
      <sheetData sheetId="63">
        <row r="36">
          <cell r="B36">
            <v>1845</v>
          </cell>
        </row>
      </sheetData>
      <sheetData sheetId="64">
        <row r="36">
          <cell r="B36">
            <v>1845</v>
          </cell>
        </row>
      </sheetData>
      <sheetData sheetId="65">
        <row r="36">
          <cell r="B36">
            <v>1845</v>
          </cell>
        </row>
      </sheetData>
      <sheetData sheetId="66">
        <row r="36">
          <cell r="B36">
            <v>1845</v>
          </cell>
        </row>
      </sheetData>
      <sheetData sheetId="67">
        <row r="36">
          <cell r="B36">
            <v>1845</v>
          </cell>
        </row>
      </sheetData>
      <sheetData sheetId="68">
        <row r="36">
          <cell r="B36">
            <v>1845</v>
          </cell>
        </row>
      </sheetData>
      <sheetData sheetId="69">
        <row r="36">
          <cell r="B36">
            <v>1845</v>
          </cell>
        </row>
      </sheetData>
      <sheetData sheetId="70">
        <row r="36">
          <cell r="B36">
            <v>1845</v>
          </cell>
        </row>
      </sheetData>
      <sheetData sheetId="71">
        <row r="5">
          <cell r="B5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://www.oak-bv.admin.ch/fr/themes/recensement-situation-financiere/index.html" TargetMode="External"/><Relationship Id="rId1" Type="http://schemas.openxmlformats.org/officeDocument/2006/relationships/hyperlink" Target="http://www.oak-bv.admin.ch/de/themen/erhebung-finanzielle-lage/index.html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Z129"/>
  <sheetViews>
    <sheetView workbookViewId="0"/>
  </sheetViews>
  <sheetFormatPr baseColWidth="10" defaultRowHeight="14.25" x14ac:dyDescent="0.2"/>
  <cols>
    <col min="1" max="1" width="40.625" style="192" customWidth="1"/>
    <col min="2" max="2" width="11" style="189"/>
    <col min="3" max="5" width="11" style="190"/>
    <col min="6" max="6" width="11" style="191"/>
    <col min="7" max="7" width="11" style="189"/>
    <col min="8" max="10" width="11" style="190"/>
    <col min="11" max="11" width="11" style="191"/>
    <col min="12" max="12" width="11" style="189"/>
    <col min="13" max="15" width="11" style="190"/>
    <col min="16" max="16" width="11" style="191"/>
    <col min="17" max="17" width="11" style="189"/>
    <col min="18" max="20" width="11" style="190"/>
    <col min="21" max="21" width="11" style="191"/>
    <col min="22" max="22" width="11" style="189"/>
    <col min="23" max="25" width="11" style="190"/>
    <col min="26" max="26" width="11" style="191"/>
  </cols>
  <sheetData>
    <row r="1" spans="1:26" s="22" customFormat="1" ht="18" x14ac:dyDescent="0.25">
      <c r="A1" s="109" t="s">
        <v>581</v>
      </c>
      <c r="B1" s="21"/>
      <c r="E1" s="23"/>
      <c r="F1" s="24"/>
      <c r="G1" s="21"/>
      <c r="J1" s="23"/>
      <c r="K1" s="24"/>
      <c r="L1" s="21"/>
      <c r="O1" s="23"/>
      <c r="P1" s="24"/>
      <c r="Q1" s="21"/>
      <c r="T1" s="39"/>
      <c r="U1" s="24"/>
      <c r="V1" s="21"/>
      <c r="Y1" s="39"/>
      <c r="Z1" s="24"/>
    </row>
    <row r="2" spans="1:26" s="18" customFormat="1" ht="12.75" x14ac:dyDescent="0.2">
      <c r="A2" s="188" t="str">
        <f>Translation!$A$28</f>
        <v>zurück zur Übersicht</v>
      </c>
      <c r="B2" s="25"/>
      <c r="E2" s="26"/>
      <c r="F2" s="27"/>
      <c r="G2" s="25"/>
      <c r="J2" s="26"/>
      <c r="K2" s="27"/>
      <c r="L2" s="25"/>
      <c r="O2" s="26"/>
      <c r="P2" s="27"/>
      <c r="Q2" s="25"/>
      <c r="T2" s="40"/>
      <c r="U2" s="27"/>
      <c r="V2" s="25"/>
      <c r="Y2" s="40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19" t="str">
        <f>Translation!$A$44</f>
        <v>Anzahl aktive Versicherte</v>
      </c>
      <c r="N4" s="19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19" t="str">
        <f>Translation!$A$44</f>
        <v>Anzahl aktive Versicherte</v>
      </c>
      <c r="S4" s="19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61"/>
      <c r="F5" s="62"/>
      <c r="G5" s="59"/>
      <c r="J5" s="61"/>
      <c r="K5" s="62"/>
      <c r="L5" s="59"/>
      <c r="O5" s="61"/>
      <c r="P5" s="62"/>
      <c r="Q5" s="59"/>
      <c r="T5" s="63"/>
      <c r="U5" s="62"/>
      <c r="V5" s="59"/>
      <c r="W5" s="74"/>
      <c r="X5" s="74"/>
      <c r="Y5" s="63"/>
      <c r="Z5" s="62"/>
    </row>
    <row r="6" spans="1:26" s="1" customFormat="1" ht="12.75" x14ac:dyDescent="0.2">
      <c r="A6" s="110"/>
      <c r="B6" s="25"/>
      <c r="C6" s="18"/>
      <c r="D6" s="18"/>
      <c r="E6" s="26"/>
      <c r="F6" s="27"/>
      <c r="G6" s="25"/>
      <c r="H6" s="18"/>
      <c r="I6" s="18"/>
      <c r="J6" s="26"/>
      <c r="K6" s="27"/>
      <c r="L6" s="25"/>
      <c r="M6" s="18"/>
      <c r="N6" s="18"/>
      <c r="O6" s="26"/>
      <c r="P6" s="27"/>
      <c r="Q6" s="25"/>
      <c r="R6" s="18"/>
      <c r="S6" s="18"/>
      <c r="T6" s="40"/>
      <c r="U6" s="27"/>
      <c r="V6" s="25"/>
      <c r="W6" s="75"/>
      <c r="X6" s="75"/>
      <c r="Y6" s="40"/>
      <c r="Z6" s="27"/>
    </row>
    <row r="7" spans="1:26" s="1" customFormat="1" ht="12.75" hidden="1" customHeight="1" x14ac:dyDescent="0.2">
      <c r="A7" s="110"/>
      <c r="B7" s="25"/>
      <c r="C7" s="18"/>
      <c r="D7" s="18"/>
      <c r="E7" s="26"/>
      <c r="F7" s="27"/>
      <c r="G7" s="25"/>
      <c r="H7" s="18"/>
      <c r="I7" s="18"/>
      <c r="J7" s="26"/>
      <c r="K7" s="27"/>
      <c r="L7" s="25"/>
      <c r="M7" s="18"/>
      <c r="N7" s="18"/>
      <c r="O7" s="26"/>
      <c r="P7" s="27"/>
      <c r="Q7" s="25"/>
      <c r="R7" s="18"/>
      <c r="S7" s="18"/>
      <c r="T7" s="40"/>
      <c r="U7" s="27"/>
      <c r="V7" s="25"/>
      <c r="W7" s="75"/>
      <c r="X7" s="75"/>
      <c r="Y7" s="40"/>
      <c r="Z7" s="27"/>
    </row>
    <row r="8" spans="1:26" s="1" customFormat="1" ht="12.75" hidden="1" customHeight="1" x14ac:dyDescent="0.2">
      <c r="A8" s="110"/>
      <c r="B8" s="25"/>
      <c r="C8" s="18"/>
      <c r="D8" s="18"/>
      <c r="E8" s="26"/>
      <c r="F8" s="27"/>
      <c r="G8" s="25"/>
      <c r="H8" s="18"/>
      <c r="I8" s="18"/>
      <c r="J8" s="26"/>
      <c r="K8" s="27"/>
      <c r="L8" s="25"/>
      <c r="M8" s="18"/>
      <c r="N8" s="18"/>
      <c r="O8" s="26"/>
      <c r="P8" s="27"/>
      <c r="Q8" s="25"/>
      <c r="R8" s="18"/>
      <c r="S8" s="18"/>
      <c r="T8" s="40"/>
      <c r="U8" s="27"/>
      <c r="V8" s="25"/>
      <c r="W8" s="75"/>
      <c r="X8" s="75"/>
      <c r="Y8" s="40"/>
      <c r="Z8" s="27"/>
    </row>
    <row r="9" spans="1:26" s="1" customFormat="1" ht="12.75" hidden="1" customHeight="1" x14ac:dyDescent="0.2">
      <c r="A9" s="110"/>
      <c r="B9" s="25"/>
      <c r="C9" s="18"/>
      <c r="D9" s="18"/>
      <c r="E9" s="26"/>
      <c r="F9" s="27"/>
      <c r="G9" s="25"/>
      <c r="H9" s="18"/>
      <c r="I9" s="18"/>
      <c r="J9" s="26"/>
      <c r="K9" s="27"/>
      <c r="L9" s="25"/>
      <c r="M9" s="18"/>
      <c r="N9" s="18"/>
      <c r="O9" s="26"/>
      <c r="P9" s="27"/>
      <c r="Q9" s="25"/>
      <c r="R9" s="18"/>
      <c r="S9" s="18"/>
      <c r="T9" s="40"/>
      <c r="U9" s="27"/>
      <c r="V9" s="25"/>
      <c r="W9" s="75"/>
      <c r="X9" s="75"/>
      <c r="Y9" s="40"/>
      <c r="Z9" s="27"/>
    </row>
    <row r="10" spans="1:26" s="1" customFormat="1" ht="12.75" x14ac:dyDescent="0.2">
      <c r="A10" s="110"/>
      <c r="B10" s="25"/>
      <c r="C10" s="18"/>
      <c r="D10" s="18"/>
      <c r="E10" s="26"/>
      <c r="F10" s="27"/>
      <c r="G10" s="25"/>
      <c r="H10" s="18"/>
      <c r="I10" s="18"/>
      <c r="J10" s="26"/>
      <c r="K10" s="27"/>
      <c r="L10" s="25"/>
      <c r="M10" s="18"/>
      <c r="N10" s="18"/>
      <c r="O10" s="26"/>
      <c r="P10" s="27"/>
      <c r="Q10" s="25"/>
      <c r="R10" s="18"/>
      <c r="S10" s="18"/>
      <c r="T10" s="40"/>
      <c r="U10" s="27"/>
      <c r="V10" s="25"/>
      <c r="W10" s="75"/>
      <c r="X10" s="75"/>
      <c r="Y10" s="40"/>
      <c r="Z10" s="27"/>
    </row>
    <row r="11" spans="1:26" x14ac:dyDescent="0.2">
      <c r="A11" s="113" t="str">
        <f>Translation!$A$29</f>
        <v>alle Vorsorgeeinrichtungen</v>
      </c>
    </row>
    <row r="12" spans="1:26" x14ac:dyDescent="0.2">
      <c r="A12" s="192" t="str">
        <f>'0'!B12</f>
        <v>Abbildung 9</v>
      </c>
      <c r="B12" s="189">
        <f>'9'!B$36</f>
        <v>1654</v>
      </c>
      <c r="C12" s="193">
        <f>'9'!C$36</f>
        <v>4175912</v>
      </c>
      <c r="D12" s="193">
        <f>'9'!D$36</f>
        <v>917491</v>
      </c>
      <c r="E12" s="190">
        <f>'9'!E$36</f>
        <v>903287.78299999994</v>
      </c>
      <c r="F12" s="191">
        <f>'9'!F$36</f>
        <v>1.0000000000000002</v>
      </c>
      <c r="G12" s="189">
        <f>'9'!G$36</f>
        <v>1682</v>
      </c>
      <c r="H12" s="193">
        <f>'9'!H$36</f>
        <v>4050094</v>
      </c>
      <c r="I12" s="193">
        <f>'9'!I$36</f>
        <v>888825</v>
      </c>
      <c r="J12" s="190">
        <f>'9'!J$36</f>
        <v>860065.13899999997</v>
      </c>
      <c r="K12" s="191">
        <f>'9'!K$36</f>
        <v>1</v>
      </c>
      <c r="L12" s="189">
        <f>'9'!L$36</f>
        <v>1743</v>
      </c>
      <c r="M12" s="193">
        <f>'9'!M$36</f>
        <v>4038155</v>
      </c>
      <c r="N12" s="193">
        <f>'9'!N$36</f>
        <v>878601</v>
      </c>
      <c r="O12" s="190">
        <f>'9'!O$36</f>
        <v>823229.95399999991</v>
      </c>
      <c r="P12" s="191">
        <f>'9'!P$36</f>
        <v>1</v>
      </c>
      <c r="Q12" s="189">
        <f>'9'!Q$36</f>
        <v>1845</v>
      </c>
      <c r="R12" s="193">
        <f>'9'!R$36</f>
        <v>4004037</v>
      </c>
      <c r="S12" s="193">
        <f>'9'!S$36</f>
        <v>868818</v>
      </c>
      <c r="T12" s="190">
        <f>'9'!T$36</f>
        <v>804031.0149999999</v>
      </c>
      <c r="U12" s="191">
        <f>'9'!U$36</f>
        <v>1</v>
      </c>
      <c r="V12" s="189">
        <f>'9'!V$36</f>
        <v>1905</v>
      </c>
      <c r="W12" s="193">
        <f>'9'!W$36</f>
        <v>3932748</v>
      </c>
      <c r="X12" s="193">
        <f>'9'!X$36</f>
        <v>943332</v>
      </c>
      <c r="Y12" s="190">
        <f>'9'!Y$36</f>
        <v>745454.83499999996</v>
      </c>
      <c r="Z12" s="191">
        <f>'9'!Z$36</f>
        <v>1.0000000000000002</v>
      </c>
    </row>
    <row r="13" spans="1:26" x14ac:dyDescent="0.2">
      <c r="A13" s="192" t="str">
        <f>'0'!B13</f>
        <v>Abbildung 10</v>
      </c>
      <c r="B13" s="189">
        <f>'10'!B$36</f>
        <v>1654</v>
      </c>
      <c r="C13" s="193">
        <f>'10'!C$36</f>
        <v>4175912</v>
      </c>
      <c r="D13" s="193">
        <f>'10'!D$36</f>
        <v>917491</v>
      </c>
      <c r="E13" s="190">
        <f>'10'!E$36</f>
        <v>903287.78299999994</v>
      </c>
      <c r="F13" s="191">
        <f>'10'!F$36</f>
        <v>1</v>
      </c>
      <c r="G13" s="189">
        <f>'10'!G$36</f>
        <v>1682</v>
      </c>
      <c r="H13" s="193">
        <f>'10'!H$36</f>
        <v>4050094</v>
      </c>
      <c r="I13" s="193">
        <f>'10'!I$36</f>
        <v>888825</v>
      </c>
      <c r="J13" s="190">
        <f>'10'!J$36</f>
        <v>860065.13900000008</v>
      </c>
      <c r="K13" s="191">
        <f>'10'!K$36</f>
        <v>1</v>
      </c>
      <c r="L13" s="189">
        <f>'10'!L$36</f>
        <v>1743</v>
      </c>
      <c r="M13" s="193">
        <f>'10'!M$36</f>
        <v>4038155</v>
      </c>
      <c r="N13" s="193">
        <f>'10'!N$36</f>
        <v>878601</v>
      </c>
      <c r="O13" s="190">
        <f>'10'!O$36</f>
        <v>823229.95400000003</v>
      </c>
      <c r="P13" s="191">
        <f>'10'!P$36</f>
        <v>0.99999999999999989</v>
      </c>
      <c r="Q13" s="189">
        <f>'10'!Q$36</f>
        <v>1845</v>
      </c>
      <c r="R13" s="193">
        <f>'10'!R$36</f>
        <v>4004037</v>
      </c>
      <c r="S13" s="193">
        <f>'10'!S$36</f>
        <v>868818</v>
      </c>
      <c r="T13" s="190">
        <f>'10'!T$36</f>
        <v>804031.01500000001</v>
      </c>
      <c r="U13" s="191">
        <f>'10'!U$36</f>
        <v>1</v>
      </c>
      <c r="V13" s="189">
        <f>'10'!V$36</f>
        <v>1905</v>
      </c>
      <c r="W13" s="193">
        <f>'10'!W$36</f>
        <v>3932748</v>
      </c>
      <c r="X13" s="193">
        <f>'10'!X$36</f>
        <v>943332</v>
      </c>
      <c r="Y13" s="190">
        <f>'10'!Y$36</f>
        <v>745454.83499999996</v>
      </c>
      <c r="Z13" s="191">
        <f>'10'!Z$36</f>
        <v>1</v>
      </c>
    </row>
    <row r="14" spans="1:26" x14ac:dyDescent="0.2">
      <c r="A14" s="192" t="str">
        <f>'0'!B14</f>
        <v>Abbildung 11</v>
      </c>
      <c r="B14" s="189">
        <f>'11'!B$36</f>
        <v>1654</v>
      </c>
      <c r="C14" s="193">
        <f>'11'!C$36</f>
        <v>4175912</v>
      </c>
      <c r="D14" s="193">
        <f>'11'!D$36</f>
        <v>917491</v>
      </c>
      <c r="E14" s="190">
        <f>'11'!E$36</f>
        <v>903287.78300000005</v>
      </c>
      <c r="F14" s="191">
        <f>'11'!F$36</f>
        <v>0.99999999999999989</v>
      </c>
      <c r="G14" s="189">
        <f>'11'!G$36</f>
        <v>1682</v>
      </c>
      <c r="H14" s="193">
        <f>'11'!H$36</f>
        <v>4050094</v>
      </c>
      <c r="I14" s="193">
        <f>'11'!I$36</f>
        <v>888825</v>
      </c>
      <c r="J14" s="190">
        <f>'11'!J$36</f>
        <v>860065.13900000008</v>
      </c>
      <c r="K14" s="191">
        <f>'11'!K$36</f>
        <v>0.99999999999999989</v>
      </c>
      <c r="L14" s="189">
        <f>'11'!L$36</f>
        <v>1743</v>
      </c>
      <c r="M14" s="193">
        <f>'11'!M$36</f>
        <v>4038155</v>
      </c>
      <c r="N14" s="193">
        <f>'11'!N$36</f>
        <v>878601</v>
      </c>
      <c r="O14" s="190">
        <f>'11'!O$36</f>
        <v>823229.95400000003</v>
      </c>
      <c r="P14" s="191">
        <f>'11'!P$36</f>
        <v>1</v>
      </c>
      <c r="Q14" s="189">
        <f>'11'!Q$36</f>
        <v>1845</v>
      </c>
      <c r="R14" s="193">
        <f>'11'!R$36</f>
        <v>4004037</v>
      </c>
      <c r="S14" s="193">
        <f>'11'!S$36</f>
        <v>868818</v>
      </c>
      <c r="T14" s="190">
        <f>'11'!T$36</f>
        <v>804031.01500000001</v>
      </c>
      <c r="U14" s="191">
        <f>'11'!U$36</f>
        <v>1</v>
      </c>
      <c r="V14" s="189">
        <f>'11'!V$36</f>
        <v>1905</v>
      </c>
      <c r="W14" s="193">
        <f>'11'!W$36</f>
        <v>3932748</v>
      </c>
      <c r="X14" s="193">
        <f>'11'!X$36</f>
        <v>943332</v>
      </c>
      <c r="Y14" s="190">
        <f>'11'!Y$36</f>
        <v>745454.83500000008</v>
      </c>
      <c r="Z14" s="191">
        <f>'11'!Z$36</f>
        <v>0.99999999999999989</v>
      </c>
    </row>
    <row r="15" spans="1:26" x14ac:dyDescent="0.2">
      <c r="A15" s="192" t="str">
        <f>'0'!B15</f>
        <v>Abbildung 12</v>
      </c>
      <c r="B15" s="189">
        <f>'12'!B$36</f>
        <v>1654</v>
      </c>
      <c r="C15" s="193">
        <f>'12'!C$36</f>
        <v>4175912</v>
      </c>
      <c r="D15" s="193">
        <f>'12'!D$36</f>
        <v>917491</v>
      </c>
      <c r="E15" s="190">
        <f>'12'!E$36</f>
        <v>903287.78299999994</v>
      </c>
      <c r="F15" s="191">
        <f>'12'!F$36</f>
        <v>0.99999999999999989</v>
      </c>
      <c r="G15" s="189">
        <f>'12'!G$36</f>
        <v>1682</v>
      </c>
      <c r="H15" s="193">
        <f>'12'!H$36</f>
        <v>4050094</v>
      </c>
      <c r="I15" s="193">
        <f>'12'!I$36</f>
        <v>888825</v>
      </c>
      <c r="J15" s="190">
        <f>'12'!J$36</f>
        <v>860065.13899999997</v>
      </c>
      <c r="K15" s="191">
        <f>'12'!K$36</f>
        <v>1</v>
      </c>
      <c r="L15" s="189">
        <f>'12'!L$36</f>
        <v>1743</v>
      </c>
      <c r="M15" s="193">
        <f>'12'!M$36</f>
        <v>4038155</v>
      </c>
      <c r="N15" s="193">
        <f>'12'!N$36</f>
        <v>878601</v>
      </c>
      <c r="O15" s="190">
        <f>'12'!O$36</f>
        <v>823229.95400000003</v>
      </c>
      <c r="P15" s="191">
        <f>'12'!P$36</f>
        <v>1</v>
      </c>
      <c r="Q15" s="189">
        <f>'12'!Q$36</f>
        <v>1845</v>
      </c>
      <c r="R15" s="193">
        <f>'12'!R$36</f>
        <v>4004037</v>
      </c>
      <c r="S15" s="193">
        <f>'12'!S$36</f>
        <v>868818</v>
      </c>
      <c r="T15" s="190">
        <f>'12'!T$36</f>
        <v>804031.01500000001</v>
      </c>
      <c r="U15" s="191">
        <f>'12'!U$36</f>
        <v>1</v>
      </c>
      <c r="V15" s="189">
        <f>'12'!V$36</f>
        <v>1905</v>
      </c>
      <c r="W15" s="193">
        <f>'12'!W$36</f>
        <v>3932748</v>
      </c>
      <c r="X15" s="193">
        <f>'12'!X$36</f>
        <v>943332</v>
      </c>
      <c r="Y15" s="190">
        <f>'12'!Y$36</f>
        <v>745454.83500000008</v>
      </c>
      <c r="Z15" s="191">
        <f>'12'!Z$36</f>
        <v>1</v>
      </c>
    </row>
    <row r="16" spans="1:26" x14ac:dyDescent="0.2">
      <c r="A16" s="192" t="str">
        <f>'0'!B16</f>
        <v>Abbildung 13</v>
      </c>
      <c r="B16" s="189">
        <f>'13'!B$36</f>
        <v>1654</v>
      </c>
      <c r="C16" s="193">
        <f>'13'!C$36</f>
        <v>4175912</v>
      </c>
      <c r="D16" s="193">
        <f>'13'!D$36</f>
        <v>917491</v>
      </c>
      <c r="E16" s="190">
        <f>'13'!E$36</f>
        <v>903287.78299999994</v>
      </c>
      <c r="F16" s="191">
        <f>'13'!F$36</f>
        <v>1</v>
      </c>
      <c r="G16" s="189">
        <f>'13'!G$36</f>
        <v>1682</v>
      </c>
      <c r="H16" s="193">
        <f>'13'!H$36</f>
        <v>4050094</v>
      </c>
      <c r="I16" s="193">
        <f>'13'!I$36</f>
        <v>888825</v>
      </c>
      <c r="J16" s="190">
        <f>'13'!J$36</f>
        <v>860065.13899999997</v>
      </c>
      <c r="K16" s="191">
        <f>'13'!K$36</f>
        <v>1</v>
      </c>
      <c r="L16" s="189">
        <f>'13'!L$36</f>
        <v>1743</v>
      </c>
      <c r="M16" s="193">
        <f>'13'!M$36</f>
        <v>4038155</v>
      </c>
      <c r="N16" s="193">
        <f>'13'!N$36</f>
        <v>878601</v>
      </c>
      <c r="O16" s="190">
        <f>'13'!O$36</f>
        <v>823229.95399999991</v>
      </c>
      <c r="P16" s="191">
        <f>'13'!P$36</f>
        <v>1</v>
      </c>
      <c r="Q16" s="189">
        <f>'13'!Q$36</f>
        <v>1845</v>
      </c>
      <c r="R16" s="193">
        <f>'13'!R$36</f>
        <v>4004037</v>
      </c>
      <c r="S16" s="193">
        <f>'13'!S$36</f>
        <v>868818</v>
      </c>
      <c r="T16" s="190">
        <f>'13'!T$36</f>
        <v>804031.0149999999</v>
      </c>
      <c r="U16" s="191">
        <f>'13'!U$36</f>
        <v>1.0000000000000002</v>
      </c>
      <c r="V16" s="189">
        <f>'13'!V$36</f>
        <v>1905</v>
      </c>
      <c r="W16" s="193">
        <f>'13'!W$36</f>
        <v>3932748</v>
      </c>
      <c r="X16" s="193">
        <f>'13'!X$36</f>
        <v>943332</v>
      </c>
      <c r="Y16" s="190">
        <f>'13'!Y$36</f>
        <v>745454.83499999996</v>
      </c>
      <c r="Z16" s="191">
        <f>'13'!Z$36</f>
        <v>1.0000000000000002</v>
      </c>
    </row>
    <row r="17" spans="1:26" x14ac:dyDescent="0.2">
      <c r="A17" s="192" t="str">
        <f>'0'!B17</f>
        <v>Abbildung 14</v>
      </c>
      <c r="B17" s="189">
        <f>'14'!B$36</f>
        <v>1654</v>
      </c>
      <c r="C17" s="193">
        <f>'14'!C$36</f>
        <v>4175912</v>
      </c>
      <c r="D17" s="193">
        <f>'14'!D$36</f>
        <v>917491</v>
      </c>
      <c r="E17" s="190">
        <f>'14'!E$36</f>
        <v>903287.78300000005</v>
      </c>
      <c r="F17" s="191">
        <f>'14'!F$36</f>
        <v>1</v>
      </c>
      <c r="G17" s="189">
        <f>'14'!G$36</f>
        <v>1682</v>
      </c>
      <c r="H17" s="193">
        <f>'14'!H$36</f>
        <v>4050094</v>
      </c>
      <c r="I17" s="193">
        <f>'14'!I$36</f>
        <v>888825</v>
      </c>
      <c r="J17" s="190">
        <f>'14'!J$36</f>
        <v>860065.13900000008</v>
      </c>
      <c r="K17" s="191">
        <f>'14'!K$36</f>
        <v>0.99999999999999978</v>
      </c>
      <c r="L17" s="189">
        <f>'14'!L$36</f>
        <v>1743</v>
      </c>
      <c r="M17" s="193">
        <f>'14'!M$36</f>
        <v>4038155</v>
      </c>
      <c r="N17" s="193">
        <f>'14'!N$36</f>
        <v>878601</v>
      </c>
      <c r="O17" s="190">
        <f>'14'!O$36</f>
        <v>823229.95399999979</v>
      </c>
      <c r="P17" s="191">
        <f>'14'!P$36</f>
        <v>1.0000000000000002</v>
      </c>
      <c r="Q17" s="189">
        <f>'14'!Q$36</f>
        <v>1845</v>
      </c>
      <c r="R17" s="193">
        <f>'14'!R$36</f>
        <v>4004037</v>
      </c>
      <c r="S17" s="193">
        <f>'14'!S$36</f>
        <v>868818</v>
      </c>
      <c r="T17" s="190">
        <f>'14'!T$36</f>
        <v>804031.01500000013</v>
      </c>
      <c r="U17" s="191">
        <f>'14'!U$36</f>
        <v>0.99999999999999989</v>
      </c>
      <c r="V17" s="189">
        <f>'14'!V$36</f>
        <v>1905</v>
      </c>
      <c r="W17" s="193">
        <f>'14'!W$36</f>
        <v>3932748</v>
      </c>
      <c r="X17" s="193">
        <f>'14'!X$36</f>
        <v>943332</v>
      </c>
      <c r="Y17" s="190">
        <f>'14'!Y$36</f>
        <v>745454.83499999985</v>
      </c>
      <c r="Z17" s="191">
        <f>'14'!Z$36</f>
        <v>1</v>
      </c>
    </row>
    <row r="18" spans="1:26" x14ac:dyDescent="0.2">
      <c r="A18" s="192" t="str">
        <f>'0'!B18</f>
        <v>Abbildung 15</v>
      </c>
      <c r="B18" s="189">
        <f>'15'!B$36</f>
        <v>1654</v>
      </c>
      <c r="C18" s="193">
        <f>'15'!C$36</f>
        <v>4175912</v>
      </c>
      <c r="D18" s="193">
        <f>'15'!D$36</f>
        <v>917491</v>
      </c>
      <c r="E18" s="190">
        <f>'15'!E$36</f>
        <v>903287.78300000005</v>
      </c>
      <c r="F18" s="191">
        <f>'15'!F$36</f>
        <v>0.99999999999999989</v>
      </c>
      <c r="G18" s="189">
        <f>'15'!G$36</f>
        <v>1682</v>
      </c>
      <c r="H18" s="193">
        <f>'15'!H$36</f>
        <v>4050094</v>
      </c>
      <c r="I18" s="193">
        <f>'15'!I$36</f>
        <v>888825</v>
      </c>
      <c r="J18" s="190">
        <f>'15'!J$36</f>
        <v>860065.13899999997</v>
      </c>
      <c r="K18" s="191">
        <f>'15'!K$36</f>
        <v>1</v>
      </c>
      <c r="L18" s="189">
        <f>'15'!L$36</f>
        <v>1743</v>
      </c>
      <c r="M18" s="193">
        <f>'15'!M$36</f>
        <v>4038155</v>
      </c>
      <c r="N18" s="193">
        <f>'15'!N$36</f>
        <v>878601</v>
      </c>
      <c r="O18" s="190">
        <f>'15'!O$36</f>
        <v>823229.95400000003</v>
      </c>
      <c r="P18" s="191">
        <f>'15'!P$36</f>
        <v>1</v>
      </c>
      <c r="Q18" s="189">
        <f>'15'!Q$36</f>
        <v>1845</v>
      </c>
      <c r="R18" s="193">
        <f>'15'!R$36</f>
        <v>4004037</v>
      </c>
      <c r="S18" s="193">
        <f>'15'!S$36</f>
        <v>868818</v>
      </c>
      <c r="T18" s="190">
        <f>'15'!T$36</f>
        <v>804031.01500000001</v>
      </c>
      <c r="U18" s="191">
        <f>'15'!U$36</f>
        <v>1</v>
      </c>
      <c r="V18" s="189">
        <f>'15'!V$36</f>
        <v>1905</v>
      </c>
      <c r="W18" s="193">
        <f>'15'!W$36</f>
        <v>3932748</v>
      </c>
      <c r="X18" s="193">
        <f>'15'!X$36</f>
        <v>943332</v>
      </c>
      <c r="Y18" s="190">
        <f>'15'!Y$36</f>
        <v>745454.83499999996</v>
      </c>
      <c r="Z18" s="191">
        <f>'15'!Z$36</f>
        <v>1</v>
      </c>
    </row>
    <row r="19" spans="1:26" x14ac:dyDescent="0.2">
      <c r="A19" s="192" t="str">
        <f>'0'!B19</f>
        <v>Abbildung 16</v>
      </c>
      <c r="B19" s="189">
        <f>'16'!B$36</f>
        <v>1654</v>
      </c>
      <c r="C19" s="193">
        <f>'16'!C$36</f>
        <v>4175912</v>
      </c>
      <c r="D19" s="193">
        <f>'16'!D$36</f>
        <v>917491</v>
      </c>
      <c r="E19" s="190">
        <f>'16'!E$36</f>
        <v>903287.78300000005</v>
      </c>
      <c r="F19" s="191">
        <f>'16'!F$36</f>
        <v>1</v>
      </c>
      <c r="G19" s="189">
        <f>'16'!G$36</f>
        <v>1682</v>
      </c>
      <c r="H19" s="193">
        <f>'16'!H$36</f>
        <v>4050094</v>
      </c>
      <c r="I19" s="193">
        <f>'16'!I$36</f>
        <v>888825</v>
      </c>
      <c r="J19" s="190">
        <f>'16'!J$36</f>
        <v>860065.13900000008</v>
      </c>
      <c r="K19" s="191">
        <f>'16'!K$36</f>
        <v>1</v>
      </c>
      <c r="L19" s="189">
        <f>'16'!L$36</f>
        <v>1743</v>
      </c>
      <c r="M19" s="193">
        <f>'16'!M$36</f>
        <v>4038155</v>
      </c>
      <c r="N19" s="193">
        <f>'16'!N$36</f>
        <v>878601</v>
      </c>
      <c r="O19" s="190">
        <f>'16'!O$36</f>
        <v>823229.95400000014</v>
      </c>
      <c r="P19" s="191">
        <f>'16'!P$36</f>
        <v>0.99999999999999989</v>
      </c>
      <c r="Q19" s="189">
        <f>'16'!Q$36</f>
        <v>1845</v>
      </c>
      <c r="R19" s="193">
        <f>'16'!R$36</f>
        <v>4004037</v>
      </c>
      <c r="S19" s="193">
        <f>'16'!S$36</f>
        <v>868818</v>
      </c>
      <c r="T19" s="190">
        <f>'16'!T$36</f>
        <v>804031.01500000013</v>
      </c>
      <c r="U19" s="191">
        <f>'16'!U$36</f>
        <v>0.99999999999999989</v>
      </c>
      <c r="V19" s="189">
        <f>'16'!V$36</f>
        <v>1905</v>
      </c>
      <c r="W19" s="193">
        <f>'16'!W$36</f>
        <v>3932748</v>
      </c>
      <c r="X19" s="193">
        <f>'16'!X$36</f>
        <v>943332</v>
      </c>
      <c r="Y19" s="190">
        <f>'16'!Y$36</f>
        <v>745454.83499999996</v>
      </c>
      <c r="Z19" s="191">
        <f>'16'!Z$36</f>
        <v>1</v>
      </c>
    </row>
    <row r="20" spans="1:26" x14ac:dyDescent="0.2">
      <c r="A20" s="192" t="str">
        <f>'0'!B20</f>
        <v>Abbildung 17</v>
      </c>
      <c r="B20" s="189">
        <f>'17'!B$36</f>
        <v>1654</v>
      </c>
      <c r="C20" s="193">
        <f>'17'!C$36</f>
        <v>4175912</v>
      </c>
      <c r="D20" s="193">
        <f>'17'!D$36</f>
        <v>917491</v>
      </c>
      <c r="E20" s="190">
        <f>'17'!E$36</f>
        <v>903287.78300000005</v>
      </c>
      <c r="F20" s="191">
        <f>'17'!F$36</f>
        <v>1</v>
      </c>
      <c r="G20" s="189">
        <f>'17'!G$36</f>
        <v>1682</v>
      </c>
      <c r="H20" s="193">
        <f>'17'!H$36</f>
        <v>4050094</v>
      </c>
      <c r="I20" s="193">
        <f>'17'!I$36</f>
        <v>888825</v>
      </c>
      <c r="J20" s="190">
        <f>'17'!J$36</f>
        <v>860065.13900000008</v>
      </c>
      <c r="K20" s="191">
        <f>'17'!K$36</f>
        <v>1</v>
      </c>
      <c r="L20" s="189">
        <f>'17'!L$36</f>
        <v>1743</v>
      </c>
      <c r="M20" s="193">
        <f>'17'!M$36</f>
        <v>4038155</v>
      </c>
      <c r="N20" s="193">
        <f>'17'!N$36</f>
        <v>878601</v>
      </c>
      <c r="O20" s="190">
        <f>'17'!O$36</f>
        <v>823229.95400000014</v>
      </c>
      <c r="P20" s="191">
        <f>'17'!P$36</f>
        <v>1</v>
      </c>
      <c r="Q20" s="189">
        <f>'17'!Q$36</f>
        <v>1845</v>
      </c>
      <c r="R20" s="193">
        <f>'17'!R$36</f>
        <v>4004037</v>
      </c>
      <c r="S20" s="193">
        <f>'17'!S$36</f>
        <v>868818</v>
      </c>
      <c r="T20" s="190">
        <f>'17'!T$36</f>
        <v>804031.0149999999</v>
      </c>
      <c r="U20" s="191">
        <f>'17'!U$36</f>
        <v>1.0000000000000002</v>
      </c>
      <c r="V20" s="189">
        <f>'17'!V$36</f>
        <v>0</v>
      </c>
      <c r="W20" s="193">
        <f>'17'!W$36</f>
        <v>0</v>
      </c>
      <c r="X20" s="193">
        <f>'17'!X$36</f>
        <v>0</v>
      </c>
      <c r="Y20" s="190">
        <f>'17'!Y$36</f>
        <v>0</v>
      </c>
      <c r="Z20" s="191">
        <f>'17'!Z$36</f>
        <v>0</v>
      </c>
    </row>
    <row r="21" spans="1:26" x14ac:dyDescent="0.2">
      <c r="A21" s="192" t="str">
        <f>'0'!B21</f>
        <v>Abbildung 18</v>
      </c>
      <c r="B21" s="189">
        <f>'17'!B$36</f>
        <v>1654</v>
      </c>
      <c r="C21" s="193">
        <f>'17'!C$36</f>
        <v>4175912</v>
      </c>
      <c r="D21" s="193">
        <f>'17'!D$36</f>
        <v>917491</v>
      </c>
      <c r="E21" s="190">
        <f>'17'!E$36</f>
        <v>903287.78300000005</v>
      </c>
      <c r="F21" s="191">
        <f>'17'!F$36</f>
        <v>1</v>
      </c>
      <c r="G21" s="189">
        <f>'17'!G$36</f>
        <v>1682</v>
      </c>
      <c r="H21" s="193">
        <f>'17'!H$36</f>
        <v>4050094</v>
      </c>
      <c r="I21" s="193">
        <f>'17'!I$36</f>
        <v>888825</v>
      </c>
      <c r="J21" s="190">
        <f>'17'!J$36</f>
        <v>860065.13900000008</v>
      </c>
      <c r="K21" s="191">
        <f>'17'!K$36</f>
        <v>1</v>
      </c>
      <c r="L21" s="189">
        <f>'17'!L$36</f>
        <v>1743</v>
      </c>
      <c r="M21" s="193">
        <f>'17'!M$36</f>
        <v>4038155</v>
      </c>
      <c r="N21" s="193">
        <f>'17'!N$36</f>
        <v>878601</v>
      </c>
      <c r="O21" s="190">
        <f>'17'!O$36</f>
        <v>823229.95400000014</v>
      </c>
      <c r="P21" s="191">
        <f>'17'!P$36</f>
        <v>1</v>
      </c>
      <c r="Q21" s="189">
        <f>'17'!Q$36</f>
        <v>1845</v>
      </c>
      <c r="R21" s="193">
        <f>'17'!R$36</f>
        <v>4004037</v>
      </c>
      <c r="S21" s="193">
        <f>'17'!S$36</f>
        <v>868818</v>
      </c>
      <c r="T21" s="190">
        <f>'17'!T$36</f>
        <v>804031.0149999999</v>
      </c>
      <c r="U21" s="191">
        <f>'17'!U$36</f>
        <v>1.0000000000000002</v>
      </c>
      <c r="V21" s="189">
        <f>'17'!V$36</f>
        <v>0</v>
      </c>
      <c r="W21" s="193">
        <f>'17'!W$36</f>
        <v>0</v>
      </c>
      <c r="X21" s="193">
        <f>'17'!X$36</f>
        <v>0</v>
      </c>
      <c r="Y21" s="190">
        <f>'17'!Y$36</f>
        <v>0</v>
      </c>
      <c r="Z21" s="191">
        <f>'17'!Z$36</f>
        <v>0</v>
      </c>
    </row>
    <row r="22" spans="1:26" x14ac:dyDescent="0.2">
      <c r="A22" s="192" t="str">
        <f>'0'!B22</f>
        <v>Abbildung 19</v>
      </c>
      <c r="B22" s="189">
        <f>'19'!B$36</f>
        <v>1654</v>
      </c>
      <c r="C22" s="193">
        <f>'19'!C$36</f>
        <v>4175912</v>
      </c>
      <c r="D22" s="193">
        <f>'19'!D$36</f>
        <v>917491</v>
      </c>
      <c r="E22" s="190">
        <f>'19'!E$36</f>
        <v>903287.78299999994</v>
      </c>
      <c r="F22" s="191">
        <f>'19'!F$36</f>
        <v>1</v>
      </c>
      <c r="G22" s="189">
        <f>'19'!G$36</f>
        <v>1682</v>
      </c>
      <c r="H22" s="193">
        <f>'19'!H$36</f>
        <v>4050094</v>
      </c>
      <c r="I22" s="193">
        <f>'19'!I$36</f>
        <v>888825</v>
      </c>
      <c r="J22" s="190">
        <f>'19'!J$36</f>
        <v>860065.13899999985</v>
      </c>
      <c r="K22" s="191">
        <f>'19'!K$36</f>
        <v>1.0000000000000002</v>
      </c>
      <c r="L22" s="189">
        <f>'19'!L$36</f>
        <v>1743</v>
      </c>
      <c r="M22" s="193">
        <f>'19'!M$36</f>
        <v>4038155</v>
      </c>
      <c r="N22" s="193">
        <f>'19'!N$36</f>
        <v>878601</v>
      </c>
      <c r="O22" s="190">
        <f>'19'!O$36</f>
        <v>823229.95400000003</v>
      </c>
      <c r="P22" s="191">
        <f>'19'!P$36</f>
        <v>1</v>
      </c>
      <c r="Q22" s="189">
        <f>'19'!Q$36</f>
        <v>1845</v>
      </c>
      <c r="R22" s="193">
        <f>'19'!R$36</f>
        <v>4004037</v>
      </c>
      <c r="S22" s="193">
        <f>'19'!S$36</f>
        <v>868818</v>
      </c>
      <c r="T22" s="190">
        <f>'19'!T$36</f>
        <v>804031.0149999999</v>
      </c>
      <c r="U22" s="191">
        <f>'19'!U$36</f>
        <v>1</v>
      </c>
      <c r="V22" s="189">
        <f>'19'!V$36</f>
        <v>1905</v>
      </c>
      <c r="W22" s="193">
        <f>'19'!W$36</f>
        <v>3932748</v>
      </c>
      <c r="X22" s="193">
        <f>'19'!X$36</f>
        <v>943332</v>
      </c>
      <c r="Y22" s="190">
        <f>'19'!Y$36</f>
        <v>745454.83500000008</v>
      </c>
      <c r="Z22" s="191">
        <f>'19'!Z$36</f>
        <v>0.99999999999999989</v>
      </c>
    </row>
    <row r="23" spans="1:26" x14ac:dyDescent="0.2">
      <c r="A23" s="192" t="str">
        <f>'0'!B23</f>
        <v>Abbildung 20</v>
      </c>
      <c r="B23" s="189">
        <f>'20'!B$36</f>
        <v>0</v>
      </c>
      <c r="C23" s="193">
        <f>'20'!C$36</f>
        <v>0</v>
      </c>
      <c r="D23" s="193">
        <f>'20'!D$36</f>
        <v>0</v>
      </c>
      <c r="E23" s="190">
        <f>'20'!E$36</f>
        <v>0</v>
      </c>
      <c r="F23" s="191">
        <f>'20'!F$36</f>
        <v>1</v>
      </c>
      <c r="G23" s="189">
        <f>'20'!G$36</f>
        <v>0</v>
      </c>
      <c r="H23" s="193">
        <f>'20'!H$36</f>
        <v>0</v>
      </c>
      <c r="I23" s="193">
        <f>'20'!I$36</f>
        <v>0</v>
      </c>
      <c r="J23" s="190">
        <f>'20'!J$36</f>
        <v>0</v>
      </c>
      <c r="K23" s="191">
        <f>'20'!K$36</f>
        <v>1</v>
      </c>
      <c r="L23" s="189">
        <f>'20'!L$36</f>
        <v>0</v>
      </c>
      <c r="M23" s="193">
        <f>'20'!M$36</f>
        <v>0</v>
      </c>
      <c r="N23" s="193">
        <f>'20'!N$36</f>
        <v>0</v>
      </c>
      <c r="O23" s="190">
        <f>'20'!O$36</f>
        <v>0</v>
      </c>
      <c r="P23" s="191">
        <f>'20'!P$36</f>
        <v>0.99999999999999989</v>
      </c>
      <c r="Q23" s="189">
        <f>'20'!Q$36</f>
        <v>0</v>
      </c>
      <c r="R23" s="193">
        <f>'20'!R$36</f>
        <v>0</v>
      </c>
      <c r="S23" s="193">
        <f>'20'!S$36</f>
        <v>0</v>
      </c>
      <c r="T23" s="190">
        <f>'20'!T$36</f>
        <v>0</v>
      </c>
      <c r="U23" s="191">
        <f>'20'!U$36</f>
        <v>0.99999999999300015</v>
      </c>
      <c r="V23" s="189">
        <f>'20'!V$36</f>
        <v>0</v>
      </c>
      <c r="W23" s="193">
        <f>'20'!W$36</f>
        <v>0</v>
      </c>
      <c r="X23" s="193">
        <f>'20'!X$36</f>
        <v>0</v>
      </c>
      <c r="Y23" s="190">
        <f>'20'!Y$36</f>
        <v>0</v>
      </c>
      <c r="Z23" s="191">
        <f>'20'!Z$36</f>
        <v>1.0000100000000001</v>
      </c>
    </row>
    <row r="24" spans="1:26" x14ac:dyDescent="0.2">
      <c r="A24" s="192" t="str">
        <f>'0'!B24</f>
        <v>Abbildung 21</v>
      </c>
      <c r="B24" s="189">
        <f>'21'!B$36</f>
        <v>1654</v>
      </c>
      <c r="C24" s="193">
        <f>'21'!C$36</f>
        <v>4175912</v>
      </c>
      <c r="D24" s="193">
        <f>'21'!D$36</f>
        <v>917491</v>
      </c>
      <c r="E24" s="190">
        <f>'21'!E$36</f>
        <v>903287.78300000005</v>
      </c>
      <c r="F24" s="191">
        <f>'21'!F$36</f>
        <v>1</v>
      </c>
      <c r="G24" s="189">
        <f>'21'!G$36</f>
        <v>1682</v>
      </c>
      <c r="H24" s="193">
        <f>'21'!H$36</f>
        <v>4050094</v>
      </c>
      <c r="I24" s="193">
        <f>'21'!I$36</f>
        <v>888825</v>
      </c>
      <c r="J24" s="190">
        <f>'21'!J$36</f>
        <v>860065.13900000008</v>
      </c>
      <c r="K24" s="191">
        <f>'21'!K$36</f>
        <v>0.99999999999999989</v>
      </c>
      <c r="L24" s="189">
        <f>'21'!L$36</f>
        <v>1743</v>
      </c>
      <c r="M24" s="193">
        <f>'21'!M$36</f>
        <v>4038155</v>
      </c>
      <c r="N24" s="193">
        <f>'21'!N$36</f>
        <v>878601</v>
      </c>
      <c r="O24" s="190">
        <f>'21'!O$36</f>
        <v>823229.95400000003</v>
      </c>
      <c r="P24" s="191">
        <f>'21'!P$36</f>
        <v>0.99999999999999989</v>
      </c>
      <c r="Q24" s="189">
        <f>'21'!Q$36</f>
        <v>1845</v>
      </c>
      <c r="R24" s="193">
        <f>'21'!R$36</f>
        <v>4004037</v>
      </c>
      <c r="S24" s="193">
        <f>'21'!S$36</f>
        <v>868818</v>
      </c>
      <c r="T24" s="190">
        <f>'21'!T$36</f>
        <v>804031.01500000001</v>
      </c>
      <c r="U24" s="191">
        <f>'21'!U$36</f>
        <v>1</v>
      </c>
      <c r="V24" s="189">
        <f>'21'!V$36</f>
        <v>1905</v>
      </c>
      <c r="W24" s="193">
        <f>'21'!W$36</f>
        <v>3932748</v>
      </c>
      <c r="X24" s="193">
        <f>'21'!X$36</f>
        <v>943332</v>
      </c>
      <c r="Y24" s="190">
        <f>'21'!Y$36</f>
        <v>745454.83499999985</v>
      </c>
      <c r="Z24" s="191">
        <f>'21'!Z$36</f>
        <v>1.0000000000000002</v>
      </c>
    </row>
    <row r="25" spans="1:26" x14ac:dyDescent="0.2">
      <c r="A25" s="192" t="str">
        <f>'0'!B25</f>
        <v>Abbildung 23</v>
      </c>
      <c r="B25" s="189">
        <f>'23'!B$36</f>
        <v>1654</v>
      </c>
      <c r="C25" s="193">
        <f>'23'!C$36</f>
        <v>4175912</v>
      </c>
      <c r="D25" s="193">
        <f>'23'!D$36</f>
        <v>917491</v>
      </c>
      <c r="E25" s="190">
        <f>'23'!E$36</f>
        <v>903287.78300000005</v>
      </c>
      <c r="F25" s="191">
        <f>'23'!F$36</f>
        <v>1</v>
      </c>
      <c r="G25" s="189">
        <f>'23'!G$36</f>
        <v>1682</v>
      </c>
      <c r="H25" s="193">
        <f>'23'!H$36</f>
        <v>4050094</v>
      </c>
      <c r="I25" s="193">
        <f>'23'!I$36</f>
        <v>888825</v>
      </c>
      <c r="J25" s="190">
        <f>'23'!J$36</f>
        <v>860065.13899999997</v>
      </c>
      <c r="K25" s="191">
        <f>'23'!K$36</f>
        <v>1</v>
      </c>
      <c r="L25" s="189">
        <f>'23'!L$36</f>
        <v>1743</v>
      </c>
      <c r="M25" s="193">
        <f>'23'!M$36</f>
        <v>4038155</v>
      </c>
      <c r="N25" s="193">
        <f>'23'!N$36</f>
        <v>878601</v>
      </c>
      <c r="O25" s="190">
        <f>'23'!O$36</f>
        <v>823229.95399999991</v>
      </c>
      <c r="P25" s="191">
        <f>'23'!P$36</f>
        <v>1</v>
      </c>
      <c r="Q25" s="189">
        <f>'23'!Q$36</f>
        <v>1845</v>
      </c>
      <c r="R25" s="193">
        <f>'23'!R$36</f>
        <v>4004037</v>
      </c>
      <c r="S25" s="193">
        <f>'23'!S$36</f>
        <v>868818</v>
      </c>
      <c r="T25" s="190">
        <f>'23'!T$36</f>
        <v>804031.01500000001</v>
      </c>
      <c r="U25" s="191">
        <f>'23'!U$36</f>
        <v>1</v>
      </c>
      <c r="V25" s="189">
        <f>'23'!V$36</f>
        <v>1905</v>
      </c>
      <c r="W25" s="193">
        <f>'23'!W$36</f>
        <v>3932748</v>
      </c>
      <c r="X25" s="193">
        <f>'23'!X$36</f>
        <v>943332</v>
      </c>
      <c r="Y25" s="190">
        <f>'23'!Y$36</f>
        <v>745454.83499999996</v>
      </c>
      <c r="Z25" s="191">
        <f>'23'!Z$36</f>
        <v>1</v>
      </c>
    </row>
    <row r="26" spans="1:26" x14ac:dyDescent="0.2">
      <c r="A26" s="192" t="str">
        <f>'0'!B26</f>
        <v>Abbildung 24</v>
      </c>
      <c r="B26" s="189">
        <f>'24'!B$36</f>
        <v>1654</v>
      </c>
      <c r="C26" s="193">
        <f>'24'!C$36</f>
        <v>4175912</v>
      </c>
      <c r="D26" s="193">
        <f>'24'!D$36</f>
        <v>917491</v>
      </c>
      <c r="E26" s="190">
        <f>'24'!E$36</f>
        <v>903287.78300000005</v>
      </c>
      <c r="F26" s="191">
        <f>'24'!F$36</f>
        <v>0.99999999999999989</v>
      </c>
      <c r="G26" s="189">
        <f>'24'!G$36</f>
        <v>1682</v>
      </c>
      <c r="H26" s="193">
        <f>'24'!H$36</f>
        <v>4050094</v>
      </c>
      <c r="I26" s="193">
        <f>'24'!I$36</f>
        <v>888825</v>
      </c>
      <c r="J26" s="190">
        <f>'24'!J$36</f>
        <v>860065.13899999997</v>
      </c>
      <c r="K26" s="191">
        <f>'24'!K$36</f>
        <v>1</v>
      </c>
      <c r="L26" s="189">
        <f>'24'!L$36</f>
        <v>1743</v>
      </c>
      <c r="M26" s="193">
        <f>'24'!M$36</f>
        <v>4038155</v>
      </c>
      <c r="N26" s="193">
        <f>'24'!N$36</f>
        <v>878601</v>
      </c>
      <c r="O26" s="190">
        <f>'24'!O$36</f>
        <v>823229.95400000003</v>
      </c>
      <c r="P26" s="191">
        <f>'24'!P$36</f>
        <v>0.99999999999999989</v>
      </c>
      <c r="Q26" s="189">
        <f>'24'!Q$36</f>
        <v>1845</v>
      </c>
      <c r="R26" s="193">
        <f>'24'!R$36</f>
        <v>4004037</v>
      </c>
      <c r="S26" s="193">
        <f>'24'!S$36</f>
        <v>868818</v>
      </c>
      <c r="T26" s="190">
        <f>'24'!T$36</f>
        <v>804031.0149999999</v>
      </c>
      <c r="U26" s="191">
        <f>'24'!U$36</f>
        <v>1</v>
      </c>
      <c r="V26" s="189">
        <f>'24'!V$36</f>
        <v>0</v>
      </c>
      <c r="W26" s="193">
        <f>'24'!W$36</f>
        <v>0</v>
      </c>
      <c r="X26" s="193">
        <f>'24'!X$36</f>
        <v>0</v>
      </c>
      <c r="Y26" s="190">
        <f>'24'!Y$36</f>
        <v>0</v>
      </c>
      <c r="Z26" s="191">
        <f>'24'!Z$36</f>
        <v>0</v>
      </c>
    </row>
    <row r="27" spans="1:26" x14ac:dyDescent="0.2">
      <c r="A27" s="192" t="str">
        <f>'0'!B27</f>
        <v>Abbildung 25</v>
      </c>
      <c r="B27" s="189">
        <f>'25'!B$36</f>
        <v>1654</v>
      </c>
      <c r="C27" s="193">
        <f>'25'!C$36</f>
        <v>4175912</v>
      </c>
      <c r="D27" s="193">
        <f>'25'!D$36</f>
        <v>917491</v>
      </c>
      <c r="E27" s="190">
        <f>'25'!E$36</f>
        <v>903287.78300000005</v>
      </c>
      <c r="F27" s="191">
        <f>'25'!F$36</f>
        <v>1</v>
      </c>
      <c r="G27" s="189">
        <f>'25'!G$36</f>
        <v>1682</v>
      </c>
      <c r="H27" s="193">
        <f>'25'!H$36</f>
        <v>4050094</v>
      </c>
      <c r="I27" s="193">
        <f>'25'!I$36</f>
        <v>888825</v>
      </c>
      <c r="J27" s="190">
        <f>'25'!J$36</f>
        <v>860065.13900000008</v>
      </c>
      <c r="K27" s="191">
        <f>'25'!K$36</f>
        <v>0.99999999999999989</v>
      </c>
      <c r="L27" s="189">
        <f>'25'!L$36</f>
        <v>1743</v>
      </c>
      <c r="M27" s="193">
        <f>'25'!M$36</f>
        <v>4038155</v>
      </c>
      <c r="N27" s="193">
        <f>'25'!N$36</f>
        <v>878601</v>
      </c>
      <c r="O27" s="190">
        <f>'25'!O$36</f>
        <v>823229.95400000014</v>
      </c>
      <c r="P27" s="191">
        <f>'25'!P$36</f>
        <v>0.99999999999999978</v>
      </c>
      <c r="Q27" s="189">
        <f>'25'!Q$36</f>
        <v>1845</v>
      </c>
      <c r="R27" s="193">
        <f>'25'!R$36</f>
        <v>4004037</v>
      </c>
      <c r="S27" s="193">
        <f>'25'!S$36</f>
        <v>868818</v>
      </c>
      <c r="T27" s="190">
        <f>'25'!T$36</f>
        <v>804031.01500000001</v>
      </c>
      <c r="U27" s="191">
        <f>'25'!U$36</f>
        <v>1</v>
      </c>
      <c r="V27" s="189">
        <f>'25'!V$36</f>
        <v>1905</v>
      </c>
      <c r="W27" s="193">
        <f>'25'!W$36</f>
        <v>3932748</v>
      </c>
      <c r="X27" s="193">
        <f>'25'!X$36</f>
        <v>943332</v>
      </c>
      <c r="Y27" s="190">
        <f>'25'!Y$36</f>
        <v>745454.83499999996</v>
      </c>
      <c r="Z27" s="191">
        <f>'25'!Z$36</f>
        <v>1.0000000000000002</v>
      </c>
    </row>
    <row r="28" spans="1:26" x14ac:dyDescent="0.2">
      <c r="A28" s="192" t="str">
        <f>'0'!B28</f>
        <v>Abbildung 26</v>
      </c>
      <c r="B28" s="189">
        <f>'26'!B$36</f>
        <v>1654</v>
      </c>
      <c r="C28" s="193">
        <f>'26'!C$36</f>
        <v>4175912</v>
      </c>
      <c r="D28" s="193">
        <f>'26'!D$36</f>
        <v>917491</v>
      </c>
      <c r="E28" s="190">
        <f>'26'!E$36</f>
        <v>903287.78299999994</v>
      </c>
      <c r="F28" s="191">
        <f>'26'!F$36</f>
        <v>1</v>
      </c>
      <c r="G28" s="189">
        <f>'26'!G$36</f>
        <v>1682</v>
      </c>
      <c r="H28" s="193">
        <f>'26'!H$36</f>
        <v>4050094</v>
      </c>
      <c r="I28" s="193">
        <f>'26'!I$36</f>
        <v>888825</v>
      </c>
      <c r="J28" s="190">
        <f>'26'!J$36</f>
        <v>860065.13899999997</v>
      </c>
      <c r="K28" s="191">
        <f>'26'!K$36</f>
        <v>1</v>
      </c>
      <c r="L28" s="189">
        <f>'26'!L$36</f>
        <v>1743</v>
      </c>
      <c r="M28" s="193">
        <f>'26'!M$36</f>
        <v>4038155</v>
      </c>
      <c r="N28" s="193">
        <f>'26'!N$36</f>
        <v>878601</v>
      </c>
      <c r="O28" s="190">
        <f>'26'!O$36</f>
        <v>823229.95400000003</v>
      </c>
      <c r="P28" s="191">
        <f>'26'!P$36</f>
        <v>1</v>
      </c>
      <c r="Q28" s="189">
        <f>'26'!Q$36</f>
        <v>1845</v>
      </c>
      <c r="R28" s="193">
        <f>'26'!R$36</f>
        <v>4004037</v>
      </c>
      <c r="S28" s="193">
        <f>'26'!S$36</f>
        <v>868818</v>
      </c>
      <c r="T28" s="190">
        <f>'26'!T$36</f>
        <v>804031.0149999999</v>
      </c>
      <c r="U28" s="191">
        <f>'26'!U$36</f>
        <v>1.0000000000000002</v>
      </c>
      <c r="V28" s="189">
        <f>'26'!V$36</f>
        <v>1905</v>
      </c>
      <c r="W28" s="193">
        <f>'26'!W$36</f>
        <v>3932748</v>
      </c>
      <c r="X28" s="193">
        <f>'26'!X$36</f>
        <v>943332</v>
      </c>
      <c r="Y28" s="190">
        <f>'26'!Y$36</f>
        <v>745454.83499999996</v>
      </c>
      <c r="Z28" s="191">
        <f>'26'!Z$36</f>
        <v>1</v>
      </c>
    </row>
    <row r="29" spans="1:26" x14ac:dyDescent="0.2">
      <c r="A29" s="192" t="str">
        <f>'0'!B29</f>
        <v>Abbildung 27</v>
      </c>
      <c r="B29" s="189">
        <f>'27'!B$36</f>
        <v>1654</v>
      </c>
      <c r="C29" s="193">
        <f>'27'!C$36</f>
        <v>4175912</v>
      </c>
      <c r="D29" s="193">
        <f>'27'!D$36</f>
        <v>917491</v>
      </c>
      <c r="E29" s="190">
        <f>'27'!E$36</f>
        <v>903287.78300000005</v>
      </c>
      <c r="F29" s="191">
        <f>'27'!F$36</f>
        <v>0.99999999999999989</v>
      </c>
      <c r="G29" s="189">
        <f>'27'!G$36</f>
        <v>1682</v>
      </c>
      <c r="H29" s="193">
        <f>'27'!H$36</f>
        <v>4050094</v>
      </c>
      <c r="I29" s="193">
        <f>'27'!I$36</f>
        <v>888825</v>
      </c>
      <c r="J29" s="190">
        <f>'27'!J$36</f>
        <v>860065.13899999997</v>
      </c>
      <c r="K29" s="191">
        <f>'27'!K$36</f>
        <v>0.99999999999999989</v>
      </c>
      <c r="L29" s="189">
        <f>'27'!L$36</f>
        <v>1743</v>
      </c>
      <c r="M29" s="193">
        <f>'27'!M$36</f>
        <v>4038155</v>
      </c>
      <c r="N29" s="193">
        <f>'27'!N$36</f>
        <v>878601</v>
      </c>
      <c r="O29" s="190">
        <f>'27'!O$36</f>
        <v>823229.95399999991</v>
      </c>
      <c r="P29" s="191">
        <f>'27'!P$36</f>
        <v>1.0000000000000002</v>
      </c>
      <c r="Q29" s="189">
        <f>'27'!Q$36</f>
        <v>1845</v>
      </c>
      <c r="R29" s="193">
        <f>'27'!R$36</f>
        <v>4004037</v>
      </c>
      <c r="S29" s="193">
        <f>'27'!S$36</f>
        <v>868818</v>
      </c>
      <c r="T29" s="190">
        <f>'27'!T$36</f>
        <v>804031.0149999999</v>
      </c>
      <c r="U29" s="191">
        <f>'27'!U$36</f>
        <v>1</v>
      </c>
      <c r="V29" s="189">
        <f>'27'!V$36</f>
        <v>0</v>
      </c>
      <c r="W29" s="193">
        <f>'27'!W$36</f>
        <v>0</v>
      </c>
      <c r="X29" s="193">
        <f>'27'!X$36</f>
        <v>0</v>
      </c>
      <c r="Y29" s="190">
        <f>'27'!Y$36</f>
        <v>0</v>
      </c>
      <c r="Z29" s="191">
        <f>'27'!Z$36</f>
        <v>0</v>
      </c>
    </row>
    <row r="30" spans="1:26" x14ac:dyDescent="0.2">
      <c r="A30" s="192" t="str">
        <f>'0'!B30</f>
        <v>Abbildung 28</v>
      </c>
      <c r="B30" s="189">
        <f>'28'!B$36</f>
        <v>1654</v>
      </c>
      <c r="C30" s="193">
        <f>'28'!C$36</f>
        <v>4175912</v>
      </c>
      <c r="D30" s="193">
        <f>'28'!D$36</f>
        <v>917491</v>
      </c>
      <c r="E30" s="190">
        <f>'28'!E$36</f>
        <v>903287.78299999994</v>
      </c>
      <c r="F30" s="191">
        <f>'28'!F$36</f>
        <v>1</v>
      </c>
      <c r="G30" s="189">
        <f>'28'!G$36</f>
        <v>1682</v>
      </c>
      <c r="H30" s="193">
        <f>'28'!H$36</f>
        <v>4050094</v>
      </c>
      <c r="I30" s="193">
        <f>'28'!I$36</f>
        <v>888825</v>
      </c>
      <c r="J30" s="190">
        <f>'28'!J$36</f>
        <v>860065.13900000008</v>
      </c>
      <c r="K30" s="191">
        <f>'28'!K$36</f>
        <v>0.99999999999999989</v>
      </c>
      <c r="L30" s="189">
        <f>'28'!L$36</f>
        <v>1743</v>
      </c>
      <c r="M30" s="193">
        <f>'28'!M$36</f>
        <v>4038155</v>
      </c>
      <c r="N30" s="193">
        <f>'28'!N$36</f>
        <v>878601</v>
      </c>
      <c r="O30" s="190">
        <f>'28'!O$36</f>
        <v>823229.95400000003</v>
      </c>
      <c r="P30" s="191">
        <f>'28'!P$36</f>
        <v>1</v>
      </c>
      <c r="Q30" s="189">
        <f>'28'!Q$36</f>
        <v>1845</v>
      </c>
      <c r="R30" s="193">
        <f>'28'!R$36</f>
        <v>4004037</v>
      </c>
      <c r="S30" s="193">
        <f>'28'!S$36</f>
        <v>868818</v>
      </c>
      <c r="T30" s="190">
        <f>'28'!T$36</f>
        <v>804031.01500000001</v>
      </c>
      <c r="U30" s="191">
        <f>'28'!U$36</f>
        <v>1</v>
      </c>
      <c r="V30" s="189">
        <f>'28'!V$36</f>
        <v>1905</v>
      </c>
      <c r="W30" s="193">
        <f>'28'!W$36</f>
        <v>3932748</v>
      </c>
      <c r="X30" s="193">
        <f>'28'!X$36</f>
        <v>943332</v>
      </c>
      <c r="Y30" s="190">
        <f>'28'!Y$36</f>
        <v>745454.83499999996</v>
      </c>
      <c r="Z30" s="191">
        <f>'28'!Z$36</f>
        <v>1</v>
      </c>
    </row>
    <row r="31" spans="1:26" x14ac:dyDescent="0.2">
      <c r="A31" s="192" t="str">
        <f>'0'!B31</f>
        <v>Abbildung 29</v>
      </c>
      <c r="B31" s="189">
        <f>'29'!B$36</f>
        <v>1579</v>
      </c>
      <c r="C31" s="193">
        <f>'29'!C$36</f>
        <v>4173513</v>
      </c>
      <c r="D31" s="193">
        <f>'29'!D$36</f>
        <v>906681</v>
      </c>
      <c r="E31" s="190">
        <f>'29'!E$36</f>
        <v>899042.97200000007</v>
      </c>
      <c r="F31" s="191">
        <f>'29'!F$36</f>
        <v>1</v>
      </c>
      <c r="G31" s="189">
        <f>'29'!G$36</f>
        <v>1608</v>
      </c>
      <c r="H31" s="193">
        <f>'29'!H$36</f>
        <v>4047944</v>
      </c>
      <c r="I31" s="193">
        <f>'29'!I$36</f>
        <v>878673</v>
      </c>
      <c r="J31" s="190">
        <f>'29'!J$36</f>
        <v>856135.1939999999</v>
      </c>
      <c r="K31" s="191">
        <f>'29'!K$36</f>
        <v>1</v>
      </c>
      <c r="L31" s="189">
        <f>'29'!L$36</f>
        <v>1666</v>
      </c>
      <c r="M31" s="193">
        <f>'29'!M$36</f>
        <v>4029272</v>
      </c>
      <c r="N31" s="193">
        <f>'29'!N$36</f>
        <v>866104</v>
      </c>
      <c r="O31" s="190">
        <f>'29'!O$36</f>
        <v>816572.42999999993</v>
      </c>
      <c r="P31" s="191">
        <f>'29'!P$36</f>
        <v>1</v>
      </c>
      <c r="Q31" s="189">
        <f>'29'!Q$36</f>
        <v>1760</v>
      </c>
      <c r="R31" s="193">
        <f>'29'!R$36</f>
        <v>3993771</v>
      </c>
      <c r="S31" s="193">
        <f>'29'!S$36</f>
        <v>860912</v>
      </c>
      <c r="T31" s="190">
        <f>'29'!T$36</f>
        <v>798790.81199999992</v>
      </c>
      <c r="U31" s="191">
        <f>'29'!U$36</f>
        <v>1</v>
      </c>
      <c r="V31" s="189">
        <f>'29'!V$36</f>
        <v>1805</v>
      </c>
      <c r="W31" s="193">
        <f>'29'!W$36</f>
        <v>3922069</v>
      </c>
      <c r="X31" s="193">
        <f>'29'!X$36</f>
        <v>936699</v>
      </c>
      <c r="Y31" s="190">
        <f>'29'!Y$36</f>
        <v>741764.87199999997</v>
      </c>
      <c r="Z31" s="191">
        <f>'29'!Z$36</f>
        <v>1</v>
      </c>
    </row>
    <row r="32" spans="1:26" x14ac:dyDescent="0.2">
      <c r="A32" s="192" t="str">
        <f>'0'!B32</f>
        <v>Abbildung 30</v>
      </c>
      <c r="B32" s="189">
        <f>'30'!B$36</f>
        <v>1654</v>
      </c>
      <c r="C32" s="193">
        <f>'30'!C$36</f>
        <v>4175912</v>
      </c>
      <c r="D32" s="193">
        <f>'30'!D$36</f>
        <v>917491</v>
      </c>
      <c r="E32" s="190">
        <f>'30'!E$36</f>
        <v>903287.78300000005</v>
      </c>
      <c r="F32" s="191">
        <f>'30'!F$36</f>
        <v>0.99999999999999989</v>
      </c>
      <c r="G32" s="189">
        <f>'30'!G$36</f>
        <v>1682</v>
      </c>
      <c r="H32" s="193">
        <f>'30'!H$36</f>
        <v>4050094</v>
      </c>
      <c r="I32" s="193">
        <f>'30'!I$36</f>
        <v>888825</v>
      </c>
      <c r="J32" s="190">
        <f>'30'!J$36</f>
        <v>860065.13899999997</v>
      </c>
      <c r="K32" s="191">
        <f>'30'!K$36</f>
        <v>1</v>
      </c>
      <c r="L32" s="189">
        <f>'30'!L$36</f>
        <v>1743</v>
      </c>
      <c r="M32" s="193">
        <f>'30'!M$36</f>
        <v>4038155</v>
      </c>
      <c r="N32" s="193">
        <f>'30'!N$36</f>
        <v>878601</v>
      </c>
      <c r="O32" s="190">
        <f>'30'!O$36</f>
        <v>823229.95399999991</v>
      </c>
      <c r="P32" s="191">
        <f>'30'!P$36</f>
        <v>1</v>
      </c>
      <c r="Q32" s="189">
        <f>'30'!Q$36</f>
        <v>1845</v>
      </c>
      <c r="R32" s="193">
        <f>'30'!R$36</f>
        <v>4004037</v>
      </c>
      <c r="S32" s="193">
        <f>'30'!S$36</f>
        <v>868818</v>
      </c>
      <c r="T32" s="190">
        <f>'30'!T$36</f>
        <v>804031.0149999999</v>
      </c>
      <c r="U32" s="191">
        <f>'30'!U$36</f>
        <v>1</v>
      </c>
      <c r="V32" s="189">
        <f>'30'!V$36</f>
        <v>1905</v>
      </c>
      <c r="W32" s="193">
        <f>'30'!W$36</f>
        <v>3932748</v>
      </c>
      <c r="X32" s="193">
        <f>'30'!X$36</f>
        <v>943332</v>
      </c>
      <c r="Y32" s="190">
        <f>'30'!Y$36</f>
        <v>745454.83499999996</v>
      </c>
      <c r="Z32" s="191">
        <f>'30'!Z$36</f>
        <v>1.0000000000000002</v>
      </c>
    </row>
    <row r="33" spans="1:26" x14ac:dyDescent="0.2">
      <c r="A33" s="192" t="str">
        <f>'0'!B33</f>
        <v>Abbildung 31</v>
      </c>
      <c r="B33" s="189">
        <f>'31'!B$36</f>
        <v>1654</v>
      </c>
      <c r="C33" s="193">
        <f>'31'!C$36</f>
        <v>4175912</v>
      </c>
      <c r="D33" s="193">
        <f>'31'!D$36</f>
        <v>917491</v>
      </c>
      <c r="E33" s="190">
        <f>'31'!E$36</f>
        <v>903287.78299999994</v>
      </c>
      <c r="F33" s="191">
        <f>'31'!F$36</f>
        <v>1.0000000000000002</v>
      </c>
      <c r="G33" s="189">
        <f>'31'!G$36</f>
        <v>1682</v>
      </c>
      <c r="H33" s="193">
        <f>'31'!H$36</f>
        <v>4050094</v>
      </c>
      <c r="I33" s="193">
        <f>'31'!I$36</f>
        <v>888825</v>
      </c>
      <c r="J33" s="190">
        <f>'31'!J$36</f>
        <v>860065.13900000008</v>
      </c>
      <c r="K33" s="191">
        <f>'31'!K$36</f>
        <v>1</v>
      </c>
      <c r="L33" s="189">
        <f>'31'!L$36</f>
        <v>1743</v>
      </c>
      <c r="M33" s="193">
        <f>'31'!M$36</f>
        <v>4038155</v>
      </c>
      <c r="N33" s="193">
        <f>'31'!N$36</f>
        <v>878601</v>
      </c>
      <c r="O33" s="190">
        <f>'31'!O$36</f>
        <v>823229.95400000003</v>
      </c>
      <c r="P33" s="191">
        <f>'31'!P$36</f>
        <v>0.99999999999999989</v>
      </c>
      <c r="Q33" s="189">
        <f>'31'!Q$36</f>
        <v>1845</v>
      </c>
      <c r="R33" s="193">
        <f>'31'!R$36</f>
        <v>4004037</v>
      </c>
      <c r="S33" s="193">
        <f>'31'!S$36</f>
        <v>868818</v>
      </c>
      <c r="T33" s="190">
        <f>'31'!T$36</f>
        <v>804031.01500000013</v>
      </c>
      <c r="U33" s="191">
        <f>'31'!U$36</f>
        <v>0.99999999999999978</v>
      </c>
      <c r="V33" s="189">
        <f>'31'!V$36</f>
        <v>1905</v>
      </c>
      <c r="W33" s="193">
        <f>'31'!W$36</f>
        <v>3932748</v>
      </c>
      <c r="X33" s="193">
        <f>'31'!X$36</f>
        <v>943332</v>
      </c>
      <c r="Y33" s="190">
        <f>'31'!Y$36</f>
        <v>745454.83499999996</v>
      </c>
      <c r="Z33" s="191">
        <f>'31'!Z$36</f>
        <v>1.0000000000000002</v>
      </c>
    </row>
    <row r="34" spans="1:26" x14ac:dyDescent="0.2">
      <c r="A34" s="192" t="str">
        <f>'0'!B34</f>
        <v>Abbildung 32</v>
      </c>
      <c r="B34" s="189">
        <f>'32'!B$36</f>
        <v>1654</v>
      </c>
      <c r="C34" s="193">
        <f>'32'!C$36</f>
        <v>4175912</v>
      </c>
      <c r="D34" s="193">
        <f>'32'!D$36</f>
        <v>917491</v>
      </c>
      <c r="E34" s="190">
        <f>'32'!E$36</f>
        <v>903287.78299999994</v>
      </c>
      <c r="F34" s="191">
        <f>'32'!F$36</f>
        <v>1</v>
      </c>
      <c r="G34" s="189">
        <f>'32'!G$36</f>
        <v>1682</v>
      </c>
      <c r="H34" s="193">
        <f>'32'!H$36</f>
        <v>4050094</v>
      </c>
      <c r="I34" s="193">
        <f>'32'!I$36</f>
        <v>888825</v>
      </c>
      <c r="J34" s="190">
        <f>'32'!J$36</f>
        <v>860065.13899999997</v>
      </c>
      <c r="K34" s="191">
        <f>'32'!K$36</f>
        <v>0.99999999999999989</v>
      </c>
      <c r="L34" s="189">
        <f>'32'!L$36</f>
        <v>1743</v>
      </c>
      <c r="M34" s="193">
        <f>'32'!M$36</f>
        <v>4038155</v>
      </c>
      <c r="N34" s="193">
        <f>'32'!N$36</f>
        <v>878601</v>
      </c>
      <c r="O34" s="190">
        <f>'32'!O$36</f>
        <v>823229.95400000003</v>
      </c>
      <c r="P34" s="191">
        <f>'32'!P$36</f>
        <v>0.99999999999999989</v>
      </c>
      <c r="Q34" s="189">
        <f>'32'!Q$36</f>
        <v>1845</v>
      </c>
      <c r="R34" s="193">
        <f>'32'!R$36</f>
        <v>4004037</v>
      </c>
      <c r="S34" s="193">
        <f>'32'!S$36</f>
        <v>868818</v>
      </c>
      <c r="T34" s="190">
        <f>'32'!T$36</f>
        <v>804031.01500000001</v>
      </c>
      <c r="U34" s="191">
        <f>'32'!U$36</f>
        <v>1</v>
      </c>
      <c r="V34" s="189">
        <f>'32'!V$36</f>
        <v>1905</v>
      </c>
      <c r="W34" s="193">
        <f>'32'!W$36</f>
        <v>3932748</v>
      </c>
      <c r="X34" s="193">
        <f>'32'!X$36</f>
        <v>943332</v>
      </c>
      <c r="Y34" s="190">
        <f>'32'!Y$36</f>
        <v>745454.83500000008</v>
      </c>
      <c r="Z34" s="191">
        <f>'32'!Z$36</f>
        <v>1</v>
      </c>
    </row>
    <row r="35" spans="1:26" x14ac:dyDescent="0.2">
      <c r="A35" s="192" t="str">
        <f>'0'!B35</f>
        <v>Abbildung 34</v>
      </c>
      <c r="B35" s="189">
        <f>'11'!B$36</f>
        <v>1654</v>
      </c>
      <c r="C35" s="193">
        <f>'11'!C$36</f>
        <v>4175912</v>
      </c>
      <c r="D35" s="193">
        <f>'11'!D$36</f>
        <v>917491</v>
      </c>
      <c r="E35" s="190">
        <f>'11'!E$36</f>
        <v>903287.78300000005</v>
      </c>
      <c r="F35" s="191">
        <f>'11'!F$36</f>
        <v>0.99999999999999989</v>
      </c>
      <c r="G35" s="189">
        <f>'11'!G$36</f>
        <v>1682</v>
      </c>
      <c r="H35" s="193">
        <f>'11'!H$36</f>
        <v>4050094</v>
      </c>
      <c r="I35" s="193">
        <f>'11'!I$36</f>
        <v>888825</v>
      </c>
      <c r="J35" s="190">
        <f>'11'!J$36</f>
        <v>860065.13900000008</v>
      </c>
      <c r="K35" s="191">
        <f>'11'!K$36</f>
        <v>0.99999999999999989</v>
      </c>
      <c r="L35" s="189">
        <f>'11'!L$36</f>
        <v>1743</v>
      </c>
      <c r="M35" s="193">
        <f>'11'!M$36</f>
        <v>4038155</v>
      </c>
      <c r="N35" s="193">
        <f>'11'!N$36</f>
        <v>878601</v>
      </c>
      <c r="O35" s="190">
        <f>'11'!O$36</f>
        <v>823229.95400000003</v>
      </c>
      <c r="P35" s="191">
        <f>'11'!P$36</f>
        <v>1</v>
      </c>
      <c r="Q35" s="189">
        <f>'11'!Q$36</f>
        <v>1845</v>
      </c>
      <c r="R35" s="193">
        <f>'11'!R$36</f>
        <v>4004037</v>
      </c>
      <c r="S35" s="193">
        <f>'11'!S$36</f>
        <v>868818</v>
      </c>
      <c r="T35" s="190">
        <f>'11'!T$36</f>
        <v>804031.01500000001</v>
      </c>
      <c r="U35" s="191">
        <f>'11'!U$36</f>
        <v>1</v>
      </c>
      <c r="V35" s="189">
        <f>'11'!V$36</f>
        <v>1905</v>
      </c>
      <c r="W35" s="193">
        <f>'11'!W$36</f>
        <v>3932748</v>
      </c>
      <c r="X35" s="193">
        <f>'11'!X$36</f>
        <v>943332</v>
      </c>
      <c r="Y35" s="190">
        <f>'11'!Y$36</f>
        <v>745454.83500000008</v>
      </c>
      <c r="Z35" s="191">
        <f>'11'!Z$36</f>
        <v>0.99999999999999989</v>
      </c>
    </row>
    <row r="36" spans="1:26" x14ac:dyDescent="0.2">
      <c r="A36" s="192" t="str">
        <f>'0'!B36</f>
        <v>Abbildung 35</v>
      </c>
      <c r="B36" s="189">
        <f>'35'!B$36</f>
        <v>28</v>
      </c>
      <c r="C36" s="193">
        <f>'35'!C$36</f>
        <v>281571</v>
      </c>
      <c r="D36" s="193">
        <f>'35'!D$36</f>
        <v>136921</v>
      </c>
      <c r="E36" s="190">
        <f>'35'!E$36</f>
        <v>115939.117</v>
      </c>
      <c r="F36" s="191">
        <f>'35'!F$36</f>
        <v>1</v>
      </c>
      <c r="G36" s="189">
        <f>'35'!G$36</f>
        <v>28</v>
      </c>
      <c r="H36" s="193">
        <f>'35'!H$36</f>
        <v>277031</v>
      </c>
      <c r="I36" s="193">
        <f>'35'!I$36</f>
        <v>132239</v>
      </c>
      <c r="J36" s="190">
        <f>'35'!J$36</f>
        <v>110188.113</v>
      </c>
      <c r="K36" s="191">
        <f>'35'!K$36</f>
        <v>1</v>
      </c>
      <c r="L36" s="189">
        <f>'35'!L$36</f>
        <v>26</v>
      </c>
      <c r="M36" s="193">
        <f>'35'!M$36</f>
        <v>242060</v>
      </c>
      <c r="N36" s="193">
        <f>'35'!N$36</f>
        <v>110234</v>
      </c>
      <c r="O36" s="190">
        <f>'35'!O$36</f>
        <v>91913.683999999994</v>
      </c>
      <c r="P36" s="191">
        <f>'35'!P$36</f>
        <v>1</v>
      </c>
      <c r="Q36" s="189">
        <f>'35'!Q$36</f>
        <v>26</v>
      </c>
      <c r="R36" s="193">
        <f>'35'!R$36</f>
        <v>244130</v>
      </c>
      <c r="S36" s="193">
        <f>'35'!S$36</f>
        <v>109859</v>
      </c>
      <c r="T36" s="190">
        <f>'35'!T$36</f>
        <v>90668.198999999993</v>
      </c>
      <c r="U36" s="191">
        <f>'35'!U$36</f>
        <v>1.0000000000000002</v>
      </c>
      <c r="V36" s="189">
        <f>'35'!V$36</f>
        <v>0</v>
      </c>
      <c r="W36" s="193">
        <f>'35'!W$36</f>
        <v>0</v>
      </c>
      <c r="X36" s="193">
        <f>'35'!X$36</f>
        <v>0</v>
      </c>
      <c r="Y36" s="190">
        <f>'35'!Y$36</f>
        <v>0</v>
      </c>
      <c r="Z36" s="191">
        <f>'35'!Z$36</f>
        <v>0</v>
      </c>
    </row>
    <row r="37" spans="1:26" x14ac:dyDescent="0.2">
      <c r="A37" s="192" t="str">
        <f>'0'!B37</f>
        <v>Abbildung 36</v>
      </c>
      <c r="B37" s="189">
        <f>'13'!B$36</f>
        <v>1654</v>
      </c>
      <c r="C37" s="193">
        <f>'13'!C$36</f>
        <v>4175912</v>
      </c>
      <c r="D37" s="193">
        <f>'13'!D$36</f>
        <v>917491</v>
      </c>
      <c r="E37" s="190">
        <f>'13'!E$36</f>
        <v>903287.78299999994</v>
      </c>
      <c r="F37" s="191">
        <f>'13'!F$36</f>
        <v>1</v>
      </c>
      <c r="G37" s="189">
        <f>'13'!G$36</f>
        <v>1682</v>
      </c>
      <c r="H37" s="193">
        <f>'13'!H$36</f>
        <v>4050094</v>
      </c>
      <c r="I37" s="193">
        <f>'13'!I$36</f>
        <v>888825</v>
      </c>
      <c r="J37" s="190">
        <f>'13'!J$36</f>
        <v>860065.13899999997</v>
      </c>
      <c r="K37" s="191">
        <f>'13'!K$36</f>
        <v>1</v>
      </c>
      <c r="L37" s="189">
        <f>'13'!L$36</f>
        <v>1743</v>
      </c>
      <c r="M37" s="193">
        <f>'13'!M$36</f>
        <v>4038155</v>
      </c>
      <c r="N37" s="193">
        <f>'13'!N$36</f>
        <v>878601</v>
      </c>
      <c r="O37" s="190">
        <f>'13'!O$36</f>
        <v>823229.95399999991</v>
      </c>
      <c r="P37" s="191">
        <f>'13'!P$36</f>
        <v>1</v>
      </c>
      <c r="Q37" s="189">
        <f>'13'!Q$36</f>
        <v>1845</v>
      </c>
      <c r="R37" s="193">
        <f>'13'!R$36</f>
        <v>4004037</v>
      </c>
      <c r="S37" s="193">
        <f>'13'!S$36</f>
        <v>868818</v>
      </c>
      <c r="T37" s="190">
        <f>'13'!T$36</f>
        <v>804031.0149999999</v>
      </c>
      <c r="U37" s="191">
        <f>'13'!U$36</f>
        <v>1.0000000000000002</v>
      </c>
      <c r="V37" s="189">
        <f>'13'!V$36</f>
        <v>1905</v>
      </c>
      <c r="W37" s="193">
        <f>'13'!W$36</f>
        <v>3932748</v>
      </c>
      <c r="X37" s="193">
        <f>'13'!X$36</f>
        <v>943332</v>
      </c>
      <c r="Y37" s="190">
        <f>'13'!Y$36</f>
        <v>745454.83499999996</v>
      </c>
      <c r="Z37" s="191">
        <f>'13'!Z$36</f>
        <v>1.0000000000000002</v>
      </c>
    </row>
    <row r="38" spans="1:26" x14ac:dyDescent="0.2">
      <c r="A38" s="192" t="str">
        <f>'0'!B38</f>
        <v>Abbildung 37</v>
      </c>
      <c r="B38" s="189">
        <f>'15'!B$36</f>
        <v>1654</v>
      </c>
      <c r="C38" s="193">
        <f>'15'!C$36</f>
        <v>4175912</v>
      </c>
      <c r="D38" s="193">
        <f>'15'!D$36</f>
        <v>917491</v>
      </c>
      <c r="E38" s="190">
        <f>'15'!E$36</f>
        <v>903287.78300000005</v>
      </c>
      <c r="F38" s="191">
        <f>'15'!F$36</f>
        <v>0.99999999999999989</v>
      </c>
      <c r="G38" s="189">
        <f>'15'!G$36</f>
        <v>1682</v>
      </c>
      <c r="H38" s="193">
        <f>'15'!H$36</f>
        <v>4050094</v>
      </c>
      <c r="I38" s="193">
        <f>'15'!I$36</f>
        <v>888825</v>
      </c>
      <c r="J38" s="190">
        <f>'15'!J$36</f>
        <v>860065.13899999997</v>
      </c>
      <c r="K38" s="191">
        <f>'15'!K$36</f>
        <v>1</v>
      </c>
      <c r="L38" s="189">
        <f>'15'!L$36</f>
        <v>1743</v>
      </c>
      <c r="M38" s="193">
        <f>'15'!M$36</f>
        <v>4038155</v>
      </c>
      <c r="N38" s="193">
        <f>'15'!N$36</f>
        <v>878601</v>
      </c>
      <c r="O38" s="190">
        <f>'15'!O$36</f>
        <v>823229.95400000003</v>
      </c>
      <c r="P38" s="191">
        <f>'15'!P$36</f>
        <v>1</v>
      </c>
      <c r="Q38" s="189">
        <f>'15'!Q$36</f>
        <v>1845</v>
      </c>
      <c r="R38" s="193">
        <f>'15'!R$36</f>
        <v>4004037</v>
      </c>
      <c r="S38" s="193">
        <f>'15'!S$36</f>
        <v>868818</v>
      </c>
      <c r="T38" s="190">
        <f>'15'!T$36</f>
        <v>804031.01500000001</v>
      </c>
      <c r="U38" s="191">
        <f>'15'!U$36</f>
        <v>1</v>
      </c>
      <c r="V38" s="189">
        <f>'15'!V$36</f>
        <v>1905</v>
      </c>
      <c r="W38" s="193">
        <f>'15'!W$36</f>
        <v>3932748</v>
      </c>
      <c r="X38" s="193">
        <f>'15'!X$36</f>
        <v>943332</v>
      </c>
      <c r="Y38" s="190">
        <f>'15'!Y$36</f>
        <v>745454.83499999996</v>
      </c>
      <c r="Z38" s="191">
        <f>'15'!Z$36</f>
        <v>1</v>
      </c>
    </row>
    <row r="39" spans="1:26" x14ac:dyDescent="0.2">
      <c r="A39" s="192" t="str">
        <f>'0'!B39</f>
        <v>Abbildung 38</v>
      </c>
      <c r="B39" s="189">
        <f>'25'!B$36</f>
        <v>1654</v>
      </c>
      <c r="C39" s="193">
        <f>'25'!C$36</f>
        <v>4175912</v>
      </c>
      <c r="D39" s="193">
        <f>'25'!D$36</f>
        <v>917491</v>
      </c>
      <c r="E39" s="190">
        <f>'25'!E$36</f>
        <v>903287.78300000005</v>
      </c>
      <c r="F39" s="191">
        <f>'25'!F$36</f>
        <v>1</v>
      </c>
      <c r="G39" s="189">
        <f>'25'!G$36</f>
        <v>1682</v>
      </c>
      <c r="H39" s="193">
        <f>'25'!H$36</f>
        <v>4050094</v>
      </c>
      <c r="I39" s="193">
        <f>'25'!I$36</f>
        <v>888825</v>
      </c>
      <c r="J39" s="190">
        <f>'25'!J$36</f>
        <v>860065.13900000008</v>
      </c>
      <c r="K39" s="191">
        <f>'25'!K$36</f>
        <v>0.99999999999999989</v>
      </c>
      <c r="L39" s="189">
        <f>'25'!L$36</f>
        <v>1743</v>
      </c>
      <c r="M39" s="193">
        <f>'25'!M$36</f>
        <v>4038155</v>
      </c>
      <c r="N39" s="193">
        <f>'25'!N$36</f>
        <v>878601</v>
      </c>
      <c r="O39" s="190">
        <f>'25'!O$36</f>
        <v>823229.95400000014</v>
      </c>
      <c r="P39" s="191">
        <f>'25'!P$36</f>
        <v>0.99999999999999978</v>
      </c>
      <c r="Q39" s="189">
        <f>'25'!Q$36</f>
        <v>1845</v>
      </c>
      <c r="R39" s="193">
        <f>'25'!R$36</f>
        <v>4004037</v>
      </c>
      <c r="S39" s="193">
        <f>'25'!S$36</f>
        <v>868818</v>
      </c>
      <c r="T39" s="190">
        <f>'25'!T$36</f>
        <v>804031.01500000001</v>
      </c>
      <c r="U39" s="191">
        <f>'25'!U$36</f>
        <v>1</v>
      </c>
      <c r="V39" s="189">
        <f>'25'!V$36</f>
        <v>1905</v>
      </c>
      <c r="W39" s="193">
        <f>'25'!W$36</f>
        <v>3932748</v>
      </c>
      <c r="X39" s="193">
        <f>'25'!X$36</f>
        <v>943332</v>
      </c>
      <c r="Y39" s="190">
        <f>'25'!Y$36</f>
        <v>745454.83499999996</v>
      </c>
      <c r="Z39" s="191">
        <f>'25'!Z$36</f>
        <v>1.0000000000000002</v>
      </c>
    </row>
    <row r="40" spans="1:26" x14ac:dyDescent="0.2">
      <c r="A40" s="192" t="str">
        <f>'0'!B40</f>
        <v>Abbildung 39</v>
      </c>
      <c r="B40" s="189">
        <f>'32'!B$36</f>
        <v>1654</v>
      </c>
      <c r="C40" s="193">
        <f>'32'!C$36</f>
        <v>4175912</v>
      </c>
      <c r="D40" s="193">
        <f>'32'!D$36</f>
        <v>917491</v>
      </c>
      <c r="E40" s="190">
        <f>'32'!E$36</f>
        <v>903287.78299999994</v>
      </c>
      <c r="F40" s="191">
        <f>'32'!F$36</f>
        <v>1</v>
      </c>
      <c r="G40" s="189">
        <f>'32'!G$36</f>
        <v>1682</v>
      </c>
      <c r="H40" s="193">
        <f>'32'!H$36</f>
        <v>4050094</v>
      </c>
      <c r="I40" s="193">
        <f>'32'!I$36</f>
        <v>888825</v>
      </c>
      <c r="J40" s="190">
        <f>'32'!J$36</f>
        <v>860065.13899999997</v>
      </c>
      <c r="K40" s="191">
        <f>'32'!K$36</f>
        <v>0.99999999999999989</v>
      </c>
      <c r="L40" s="189">
        <f>'32'!L$36</f>
        <v>1743</v>
      </c>
      <c r="M40" s="193">
        <f>'32'!M$36</f>
        <v>4038155</v>
      </c>
      <c r="N40" s="193">
        <f>'32'!N$36</f>
        <v>878601</v>
      </c>
      <c r="O40" s="190">
        <f>'32'!O$36</f>
        <v>823229.95400000003</v>
      </c>
      <c r="P40" s="191">
        <f>'32'!P$36</f>
        <v>0.99999999999999989</v>
      </c>
      <c r="Q40" s="189">
        <f>'32'!Q$36</f>
        <v>1845</v>
      </c>
      <c r="R40" s="193">
        <f>'32'!R$36</f>
        <v>4004037</v>
      </c>
      <c r="S40" s="193">
        <f>'32'!S$36</f>
        <v>868818</v>
      </c>
      <c r="T40" s="190">
        <f>'32'!T$36</f>
        <v>804031.01500000001</v>
      </c>
      <c r="U40" s="191">
        <f>'32'!U$36</f>
        <v>1</v>
      </c>
      <c r="V40" s="189">
        <f>'32'!V$36</f>
        <v>1905</v>
      </c>
      <c r="W40" s="193">
        <f>'32'!W$36</f>
        <v>3932748</v>
      </c>
      <c r="X40" s="193">
        <f>'32'!X$36</f>
        <v>943332</v>
      </c>
      <c r="Y40" s="190">
        <f>'32'!Y$36</f>
        <v>745454.83500000008</v>
      </c>
      <c r="Z40" s="191">
        <f>'32'!Z$36</f>
        <v>1</v>
      </c>
    </row>
    <row r="41" spans="1:26" x14ac:dyDescent="0.2">
      <c r="A41" s="192" t="str">
        <f>'0'!B41</f>
        <v>Abbildung 40</v>
      </c>
      <c r="B41" s="189">
        <f>'40'!B$36</f>
        <v>1654</v>
      </c>
      <c r="C41" s="193">
        <f>'40'!C$36</f>
        <v>4175912</v>
      </c>
      <c r="D41" s="193">
        <f>'40'!D$36</f>
        <v>917491</v>
      </c>
      <c r="E41" s="190">
        <f>'40'!E$36</f>
        <v>903287.78299999994</v>
      </c>
      <c r="F41" s="191">
        <f>'40'!F$36</f>
        <v>1</v>
      </c>
      <c r="G41" s="189">
        <f>'40'!G$36</f>
        <v>1682</v>
      </c>
      <c r="H41" s="193">
        <f>'40'!H$36</f>
        <v>4050094</v>
      </c>
      <c r="I41" s="193">
        <f>'40'!I$36</f>
        <v>888825</v>
      </c>
      <c r="J41" s="190">
        <f>'40'!J$36</f>
        <v>860065.13900000008</v>
      </c>
      <c r="K41" s="191">
        <f>'40'!K$36</f>
        <v>0.99999999999999978</v>
      </c>
      <c r="L41" s="189">
        <f>'40'!L$36</f>
        <v>1743</v>
      </c>
      <c r="M41" s="193">
        <f>'40'!M$36</f>
        <v>4038155</v>
      </c>
      <c r="N41" s="193">
        <f>'40'!N$36</f>
        <v>878601</v>
      </c>
      <c r="O41" s="190">
        <f>'40'!O$36</f>
        <v>823229.95399999991</v>
      </c>
      <c r="P41" s="191">
        <f>'40'!P$36</f>
        <v>1</v>
      </c>
      <c r="Q41" s="189">
        <f>'40'!Q$36</f>
        <v>1845</v>
      </c>
      <c r="R41" s="193">
        <f>'40'!R$36</f>
        <v>4004037</v>
      </c>
      <c r="S41" s="193">
        <f>'40'!S$36</f>
        <v>868818</v>
      </c>
      <c r="T41" s="190">
        <f>'40'!T$36</f>
        <v>804031.0149999999</v>
      </c>
      <c r="U41" s="191">
        <f>'40'!U$36</f>
        <v>1</v>
      </c>
      <c r="V41" s="189">
        <f>'40'!V$36</f>
        <v>1905</v>
      </c>
      <c r="W41" s="193">
        <f>'40'!W$36</f>
        <v>3932748</v>
      </c>
      <c r="X41" s="193">
        <f>'40'!X$36</f>
        <v>943332</v>
      </c>
      <c r="Y41" s="190">
        <f>'40'!Y$36</f>
        <v>745454.83499999996</v>
      </c>
      <c r="Z41" s="191">
        <f>'40'!Z$36</f>
        <v>1</v>
      </c>
    </row>
    <row r="42" spans="1:26" x14ac:dyDescent="0.2">
      <c r="A42" s="192" t="str">
        <f>'0'!B42</f>
        <v>Abbildung 41</v>
      </c>
      <c r="B42" s="189">
        <f>'41'!B$36</f>
        <v>1654</v>
      </c>
      <c r="C42" s="193">
        <f>'41'!C$36</f>
        <v>4175912</v>
      </c>
      <c r="D42" s="193">
        <f>'41'!D$36</f>
        <v>917491</v>
      </c>
      <c r="E42" s="190">
        <f>'41'!E$36</f>
        <v>903287.78300000005</v>
      </c>
      <c r="F42" s="191">
        <f>'41'!F$36</f>
        <v>1</v>
      </c>
      <c r="G42" s="189">
        <f>'41'!G$36</f>
        <v>1682</v>
      </c>
      <c r="H42" s="193">
        <f>'41'!H$36</f>
        <v>4050094</v>
      </c>
      <c r="I42" s="193">
        <f>'41'!I$36</f>
        <v>888825</v>
      </c>
      <c r="J42" s="190">
        <f>'41'!J$36</f>
        <v>860065.13899999997</v>
      </c>
      <c r="K42" s="191">
        <f>'41'!K$36</f>
        <v>1</v>
      </c>
      <c r="L42" s="189">
        <f>'41'!L$36</f>
        <v>1743</v>
      </c>
      <c r="M42" s="193">
        <f>'41'!M$36</f>
        <v>4038155</v>
      </c>
      <c r="N42" s="193">
        <f>'41'!N$36</f>
        <v>878601</v>
      </c>
      <c r="O42" s="190">
        <f>'41'!O$36</f>
        <v>823229.95399999991</v>
      </c>
      <c r="P42" s="191">
        <f>'41'!P$36</f>
        <v>1</v>
      </c>
      <c r="Q42" s="189">
        <f>'41'!Q$36</f>
        <v>1845</v>
      </c>
      <c r="R42" s="193">
        <f>'41'!R$36</f>
        <v>4004037</v>
      </c>
      <c r="S42" s="193">
        <f>'41'!S$36</f>
        <v>868818</v>
      </c>
      <c r="T42" s="190">
        <f>'41'!T$36</f>
        <v>804031.0149999999</v>
      </c>
      <c r="U42" s="191">
        <f>'41'!U$36</f>
        <v>1</v>
      </c>
      <c r="V42" s="189">
        <f>'41'!V$36</f>
        <v>1905</v>
      </c>
      <c r="W42" s="193">
        <f>'41'!W$36</f>
        <v>3932748</v>
      </c>
      <c r="X42" s="193">
        <f>'41'!X$36</f>
        <v>943332</v>
      </c>
      <c r="Y42" s="190">
        <f>'41'!Y$36</f>
        <v>745454.83499999985</v>
      </c>
      <c r="Z42" s="191">
        <f>'41'!Z$36</f>
        <v>1.0000000000000002</v>
      </c>
    </row>
    <row r="43" spans="1:26" x14ac:dyDescent="0.2">
      <c r="A43" s="192" t="str">
        <f>'0'!B43</f>
        <v>Abbildung 42</v>
      </c>
      <c r="B43" s="189">
        <f>'42'!B$36</f>
        <v>1654</v>
      </c>
      <c r="C43" s="193">
        <f>'42'!C$36</f>
        <v>4175912</v>
      </c>
      <c r="D43" s="193">
        <f>'42'!D$36</f>
        <v>917491</v>
      </c>
      <c r="E43" s="190">
        <f>'42'!E$36</f>
        <v>903287.78299999994</v>
      </c>
      <c r="F43" s="191">
        <f>'42'!F$36</f>
        <v>1</v>
      </c>
      <c r="G43" s="189">
        <f>'42'!G$36</f>
        <v>1682</v>
      </c>
      <c r="H43" s="193">
        <f>'42'!H$36</f>
        <v>4050094</v>
      </c>
      <c r="I43" s="193">
        <f>'42'!I$36</f>
        <v>888825</v>
      </c>
      <c r="J43" s="190">
        <f>'42'!J$36</f>
        <v>860065.13900000008</v>
      </c>
      <c r="K43" s="191">
        <f>'42'!K$36</f>
        <v>0.99999999999999989</v>
      </c>
      <c r="L43" s="189">
        <f>'42'!L$36</f>
        <v>1743</v>
      </c>
      <c r="M43" s="193">
        <f>'42'!M$36</f>
        <v>4038155</v>
      </c>
      <c r="N43" s="193">
        <f>'42'!N$36</f>
        <v>878601</v>
      </c>
      <c r="O43" s="190">
        <f>'42'!O$36</f>
        <v>823229.95400000003</v>
      </c>
      <c r="P43" s="191">
        <f>'42'!P$36</f>
        <v>1</v>
      </c>
      <c r="Q43" s="189">
        <f>'42'!Q$36</f>
        <v>1845</v>
      </c>
      <c r="R43" s="193">
        <f>'42'!R$36</f>
        <v>4004037</v>
      </c>
      <c r="S43" s="193">
        <f>'42'!S$36</f>
        <v>868818</v>
      </c>
      <c r="T43" s="190">
        <f>'42'!T$36</f>
        <v>804031.01500000001</v>
      </c>
      <c r="U43" s="191">
        <f>'42'!U$36</f>
        <v>1.0000000000000002</v>
      </c>
      <c r="V43" s="189">
        <f>'42'!V$36</f>
        <v>1905</v>
      </c>
      <c r="W43" s="193">
        <f>'42'!W$36</f>
        <v>3932748</v>
      </c>
      <c r="X43" s="193">
        <f>'42'!X$36</f>
        <v>943332</v>
      </c>
      <c r="Y43" s="190">
        <f>'42'!Y$36</f>
        <v>745454.83499999996</v>
      </c>
      <c r="Z43" s="191">
        <f>'42'!Z$36</f>
        <v>1</v>
      </c>
    </row>
    <row r="44" spans="1:26" x14ac:dyDescent="0.2">
      <c r="A44" s="192" t="str">
        <f>'0'!B44</f>
        <v>Abbildung 43</v>
      </c>
      <c r="B44" s="189">
        <f>'43'!B$36</f>
        <v>1654</v>
      </c>
      <c r="C44" s="193">
        <f>'43'!C$36</f>
        <v>4175912</v>
      </c>
      <c r="D44" s="193">
        <f>'43'!D$36</f>
        <v>917491</v>
      </c>
      <c r="E44" s="190">
        <f>'43'!E$36</f>
        <v>903287.78300000005</v>
      </c>
      <c r="F44" s="191">
        <f>'43'!F$36</f>
        <v>1</v>
      </c>
      <c r="G44" s="189">
        <f>'43'!G$36</f>
        <v>1682</v>
      </c>
      <c r="H44" s="193">
        <f>'43'!H$36</f>
        <v>4050094</v>
      </c>
      <c r="I44" s="193">
        <f>'43'!I$36</f>
        <v>888825</v>
      </c>
      <c r="J44" s="190">
        <f>'43'!J$36</f>
        <v>860065.13899999997</v>
      </c>
      <c r="K44" s="191">
        <f>'43'!K$36</f>
        <v>1</v>
      </c>
      <c r="L44" s="189">
        <f>'43'!L$36</f>
        <v>1743</v>
      </c>
      <c r="M44" s="193">
        <f>'43'!M$36</f>
        <v>4038155</v>
      </c>
      <c r="N44" s="193">
        <f>'43'!N$36</f>
        <v>878601</v>
      </c>
      <c r="O44" s="190">
        <f>'43'!O$36</f>
        <v>823229.95399999991</v>
      </c>
      <c r="P44" s="191">
        <f>'43'!P$36</f>
        <v>1.0000000000000002</v>
      </c>
      <c r="Q44" s="189">
        <f>'43'!Q$36</f>
        <v>1845</v>
      </c>
      <c r="R44" s="193">
        <f>'43'!R$36</f>
        <v>4004037</v>
      </c>
      <c r="S44" s="193">
        <f>'43'!S$36</f>
        <v>868818</v>
      </c>
      <c r="T44" s="190">
        <f>'43'!T$36</f>
        <v>804031.01500000001</v>
      </c>
      <c r="U44" s="191">
        <f>'43'!U$36</f>
        <v>1</v>
      </c>
      <c r="V44" s="189">
        <f>'43'!V$36</f>
        <v>1905</v>
      </c>
      <c r="W44" s="193">
        <f>'43'!W$36</f>
        <v>3932748</v>
      </c>
      <c r="X44" s="193">
        <f>'43'!X$36</f>
        <v>943332</v>
      </c>
      <c r="Y44" s="190">
        <f>'43'!Y$36</f>
        <v>745454.83499999996</v>
      </c>
      <c r="Z44" s="191">
        <f>'43'!Z$36</f>
        <v>1</v>
      </c>
    </row>
    <row r="45" spans="1:26" x14ac:dyDescent="0.2">
      <c r="A45" s="192" t="str">
        <f>'0'!B45</f>
        <v>Bonus 1</v>
      </c>
      <c r="B45" s="189">
        <f>'B 1'!B$36</f>
        <v>1654</v>
      </c>
      <c r="C45" s="193">
        <f>'B 1'!C$36</f>
        <v>4175912</v>
      </c>
      <c r="D45" s="193">
        <f>'B 1'!D$36</f>
        <v>917491</v>
      </c>
      <c r="E45" s="190">
        <f>'B 1'!E$36</f>
        <v>903287.78300000005</v>
      </c>
      <c r="F45" s="191">
        <f>'B 1'!F$36</f>
        <v>1</v>
      </c>
      <c r="G45" s="189">
        <f>'B 1'!G$36</f>
        <v>1682</v>
      </c>
      <c r="H45" s="193">
        <f>'B 1'!H$36</f>
        <v>4050094</v>
      </c>
      <c r="I45" s="193">
        <f>'B 1'!I$36</f>
        <v>888825</v>
      </c>
      <c r="J45" s="190">
        <f>'B 1'!J$36</f>
        <v>860065.13899999997</v>
      </c>
      <c r="K45" s="191">
        <f>'B 1'!K$36</f>
        <v>1</v>
      </c>
      <c r="L45" s="189">
        <f>'B 1'!L$36</f>
        <v>1743</v>
      </c>
      <c r="M45" s="193">
        <f>'B 1'!M$36</f>
        <v>4038155</v>
      </c>
      <c r="N45" s="193">
        <f>'B 1'!N$36</f>
        <v>878601</v>
      </c>
      <c r="O45" s="190">
        <f>'B 1'!O$36</f>
        <v>823229.95400000003</v>
      </c>
      <c r="P45" s="191">
        <f>'B 1'!P$36</f>
        <v>1</v>
      </c>
      <c r="Q45" s="189">
        <f>'B 1'!Q$36</f>
        <v>1845</v>
      </c>
      <c r="R45" s="193">
        <f>'B 1'!R$36</f>
        <v>4004037</v>
      </c>
      <c r="S45" s="193">
        <f>'B 1'!S$36</f>
        <v>868818</v>
      </c>
      <c r="T45" s="190">
        <f>'B 1'!T$36</f>
        <v>804031.01500000001</v>
      </c>
      <c r="U45" s="191">
        <f>'B 1'!U$36</f>
        <v>1</v>
      </c>
      <c r="V45" s="189">
        <f>'B 1'!V$36</f>
        <v>1905</v>
      </c>
      <c r="W45" s="193">
        <f>'B 1'!W$36</f>
        <v>3932748</v>
      </c>
      <c r="X45" s="193">
        <f>'B 1'!X$36</f>
        <v>943332</v>
      </c>
      <c r="Y45" s="190">
        <f>'B 1'!Y$36</f>
        <v>745454.83499999996</v>
      </c>
      <c r="Z45" s="191">
        <f>'B 1'!Z$36</f>
        <v>1</v>
      </c>
    </row>
    <row r="46" spans="1:26" x14ac:dyDescent="0.2">
      <c r="W46" s="193"/>
      <c r="X46" s="193"/>
    </row>
    <row r="49" spans="1:26" x14ac:dyDescent="0.2">
      <c r="C49" s="193"/>
      <c r="D49" s="193"/>
      <c r="H49" s="193"/>
      <c r="I49" s="193"/>
      <c r="M49" s="193"/>
      <c r="N49" s="193"/>
      <c r="R49" s="193"/>
      <c r="S49" s="193"/>
      <c r="W49" s="193"/>
      <c r="X49" s="193"/>
    </row>
    <row r="56" spans="1:26" x14ac:dyDescent="0.2">
      <c r="A56" s="116" t="str">
        <f>Translation!$A$30</f>
        <v>Vorsorgeeinrichtungen ohne Staatsgarantie</v>
      </c>
    </row>
    <row r="57" spans="1:26" x14ac:dyDescent="0.2">
      <c r="A57" s="192" t="str">
        <f>Translation!$A$24&amp;" 13"</f>
        <v>Abbildung 13</v>
      </c>
      <c r="B57" s="189">
        <f>'9'!B$76</f>
        <v>1616</v>
      </c>
      <c r="C57" s="193">
        <f>'9'!C$76</f>
        <v>3850189</v>
      </c>
      <c r="D57" s="193">
        <f>'9'!D$76</f>
        <v>761307</v>
      </c>
      <c r="E57" s="190">
        <f>'9'!E$76</f>
        <v>769277.66599999985</v>
      </c>
      <c r="F57" s="191">
        <f>'9'!F$76</f>
        <v>1.0000000000000002</v>
      </c>
      <c r="G57" s="189">
        <f>'9'!G$76</f>
        <v>1643</v>
      </c>
      <c r="H57" s="193">
        <f>'9'!H$76</f>
        <v>3728054</v>
      </c>
      <c r="I57" s="193">
        <f>'9'!I$76</f>
        <v>738727</v>
      </c>
      <c r="J57" s="190">
        <f>'9'!J$76</f>
        <v>732787.76</v>
      </c>
      <c r="K57" s="191">
        <f>'9'!K$76</f>
        <v>1</v>
      </c>
      <c r="L57" s="189">
        <f>'9'!L$76</f>
        <v>1705</v>
      </c>
      <c r="M57" s="193">
        <f>'9'!M$76</f>
        <v>3729812</v>
      </c>
      <c r="N57" s="193">
        <f>'9'!N$76</f>
        <v>734767</v>
      </c>
      <c r="O57" s="190">
        <f>'9'!O$76</f>
        <v>703981.94500000007</v>
      </c>
      <c r="P57" s="191">
        <f>'9'!P$76</f>
        <v>0.99999999999999989</v>
      </c>
      <c r="Q57" s="189">
        <f>'9'!Q$76</f>
        <v>1802</v>
      </c>
      <c r="R57" s="193">
        <f>'9'!R$76</f>
        <v>3664657</v>
      </c>
      <c r="S57" s="193">
        <f>'9'!S$76</f>
        <v>714906</v>
      </c>
      <c r="T57" s="190">
        <f>'9'!T$76</f>
        <v>678729.89899999998</v>
      </c>
      <c r="U57" s="191">
        <f>'9'!U$76</f>
        <v>1</v>
      </c>
      <c r="V57" s="189">
        <f>'9'!V$76</f>
        <v>1847</v>
      </c>
      <c r="W57" s="193">
        <f>'9'!W$76</f>
        <v>3574632</v>
      </c>
      <c r="X57" s="193">
        <f>'9'!X$76</f>
        <v>783627</v>
      </c>
      <c r="Y57" s="190">
        <f>'9'!Y$76</f>
        <v>616658.64399999997</v>
      </c>
      <c r="Z57" s="191">
        <f>'9'!Z$76</f>
        <v>1.0000000000000002</v>
      </c>
    </row>
    <row r="58" spans="1:26" x14ac:dyDescent="0.2">
      <c r="A58" s="192" t="str">
        <f>Translation!$A$24&amp;" 14"</f>
        <v>Abbildung 14</v>
      </c>
      <c r="B58" s="189">
        <f>'10'!B$76</f>
        <v>1616</v>
      </c>
      <c r="C58" s="193">
        <f>'10'!C$76</f>
        <v>3850189</v>
      </c>
      <c r="D58" s="193">
        <f>'10'!D$76</f>
        <v>761307</v>
      </c>
      <c r="E58" s="190">
        <f>'10'!E$76</f>
        <v>769277.66599999997</v>
      </c>
      <c r="F58" s="191">
        <f>'10'!F$76</f>
        <v>1.0000000000000002</v>
      </c>
      <c r="G58" s="189">
        <f>'10'!G$76</f>
        <v>1643</v>
      </c>
      <c r="H58" s="193">
        <f>'10'!H$76</f>
        <v>3728054</v>
      </c>
      <c r="I58" s="193">
        <f>'10'!I$76</f>
        <v>738727</v>
      </c>
      <c r="J58" s="190">
        <f>'10'!J$76</f>
        <v>732787.76</v>
      </c>
      <c r="K58" s="191">
        <f>'10'!K$76</f>
        <v>1</v>
      </c>
      <c r="L58" s="189">
        <f>'10'!L$76</f>
        <v>1705</v>
      </c>
      <c r="M58" s="193">
        <f>'10'!M$76</f>
        <v>3729812</v>
      </c>
      <c r="N58" s="193">
        <f>'10'!N$76</f>
        <v>734767</v>
      </c>
      <c r="O58" s="190">
        <f>'10'!O$76</f>
        <v>703981.94500000007</v>
      </c>
      <c r="P58" s="191">
        <f>'10'!P$76</f>
        <v>0.99999999999999978</v>
      </c>
      <c r="Q58" s="189">
        <f>'10'!Q$76</f>
        <v>1802</v>
      </c>
      <c r="R58" s="193">
        <f>'10'!R$76</f>
        <v>3664657</v>
      </c>
      <c r="S58" s="193">
        <f>'10'!S$76</f>
        <v>714906</v>
      </c>
      <c r="T58" s="190">
        <f>'10'!T$76</f>
        <v>678729.89899999998</v>
      </c>
      <c r="U58" s="191">
        <f>'10'!U$76</f>
        <v>1</v>
      </c>
      <c r="V58" s="189">
        <f>'10'!V$76</f>
        <v>1847</v>
      </c>
      <c r="W58" s="193">
        <f>'10'!W$76</f>
        <v>3574632</v>
      </c>
      <c r="X58" s="193">
        <f>'10'!X$76</f>
        <v>783627</v>
      </c>
      <c r="Y58" s="190">
        <f>'10'!Y$76</f>
        <v>616658.64399999997</v>
      </c>
      <c r="Z58" s="191">
        <f>'10'!Z$76</f>
        <v>1</v>
      </c>
    </row>
    <row r="59" spans="1:26" x14ac:dyDescent="0.2">
      <c r="A59" s="192" t="str">
        <f>Translation!$A$24&amp;" 15"</f>
        <v>Abbildung 15</v>
      </c>
      <c r="B59" s="189">
        <f>'11'!B$76</f>
        <v>1616</v>
      </c>
      <c r="C59" s="193">
        <f>'11'!C$76</f>
        <v>3850189</v>
      </c>
      <c r="D59" s="193">
        <f>'11'!D$76</f>
        <v>761307</v>
      </c>
      <c r="E59" s="190">
        <f>'11'!E$76</f>
        <v>769277.66599999997</v>
      </c>
      <c r="F59" s="191">
        <f>'11'!F$76</f>
        <v>1</v>
      </c>
      <c r="G59" s="189">
        <f>'11'!G$76</f>
        <v>1643</v>
      </c>
      <c r="H59" s="193">
        <f>'11'!H$76</f>
        <v>3728054</v>
      </c>
      <c r="I59" s="193">
        <f>'11'!I$76</f>
        <v>738727</v>
      </c>
      <c r="J59" s="190">
        <f>'11'!J$76</f>
        <v>732787.76</v>
      </c>
      <c r="K59" s="191">
        <f>'11'!K$76</f>
        <v>1</v>
      </c>
      <c r="L59" s="189">
        <f>'11'!L$76</f>
        <v>1705</v>
      </c>
      <c r="M59" s="193">
        <f>'11'!M$76</f>
        <v>3729812</v>
      </c>
      <c r="N59" s="193">
        <f>'11'!N$76</f>
        <v>734767</v>
      </c>
      <c r="O59" s="190">
        <f>'11'!O$76</f>
        <v>703981.94499999995</v>
      </c>
      <c r="P59" s="191">
        <f>'11'!P$76</f>
        <v>1.0000000000000002</v>
      </c>
      <c r="Q59" s="189">
        <f>'11'!Q$76</f>
        <v>1802</v>
      </c>
      <c r="R59" s="193">
        <f>'11'!R$76</f>
        <v>3664657</v>
      </c>
      <c r="S59" s="193">
        <f>'11'!S$76</f>
        <v>714906</v>
      </c>
      <c r="T59" s="190">
        <f>'11'!T$76</f>
        <v>678729.89900000009</v>
      </c>
      <c r="U59" s="191">
        <f>'11'!U$76</f>
        <v>0.99999999999999978</v>
      </c>
      <c r="V59" s="189">
        <f>'11'!V$76</f>
        <v>1847</v>
      </c>
      <c r="W59" s="193">
        <f>'11'!W$76</f>
        <v>3574632</v>
      </c>
      <c r="X59" s="193">
        <f>'11'!X$76</f>
        <v>783627</v>
      </c>
      <c r="Y59" s="190">
        <f>'11'!Y$76</f>
        <v>616658.64400000009</v>
      </c>
      <c r="Z59" s="191">
        <f>'11'!Z$76</f>
        <v>0.99999999999999989</v>
      </c>
    </row>
    <row r="60" spans="1:26" x14ac:dyDescent="0.2">
      <c r="A60" s="192" t="str">
        <f>Translation!$A$24&amp;" 16"</f>
        <v>Abbildung 16</v>
      </c>
      <c r="B60" s="189">
        <f>'12'!B$76</f>
        <v>1616</v>
      </c>
      <c r="C60" s="193">
        <f>'12'!C$76</f>
        <v>3850189</v>
      </c>
      <c r="D60" s="193">
        <f>'12'!D$76</f>
        <v>761307</v>
      </c>
      <c r="E60" s="190">
        <f>'12'!E$76</f>
        <v>769277.66599999997</v>
      </c>
      <c r="F60" s="191">
        <f>'12'!F$76</f>
        <v>1</v>
      </c>
      <c r="G60" s="189">
        <f>'12'!G$76</f>
        <v>1643</v>
      </c>
      <c r="H60" s="193">
        <f>'12'!H$76</f>
        <v>3728054</v>
      </c>
      <c r="I60" s="193">
        <f>'12'!I$76</f>
        <v>738727</v>
      </c>
      <c r="J60" s="190">
        <f>'12'!J$76</f>
        <v>732787.76</v>
      </c>
      <c r="K60" s="191">
        <f>'12'!K$76</f>
        <v>1</v>
      </c>
      <c r="L60" s="189">
        <f>'12'!L$76</f>
        <v>1705</v>
      </c>
      <c r="M60" s="193">
        <f>'12'!M$76</f>
        <v>3729812</v>
      </c>
      <c r="N60" s="193">
        <f>'12'!N$76</f>
        <v>734767</v>
      </c>
      <c r="O60" s="190">
        <f>'12'!O$76</f>
        <v>703981.94500000007</v>
      </c>
      <c r="P60" s="191">
        <f>'12'!P$76</f>
        <v>0.99999999999999989</v>
      </c>
      <c r="Q60" s="189">
        <f>'12'!Q$76</f>
        <v>1802</v>
      </c>
      <c r="R60" s="193">
        <f>'12'!R$76</f>
        <v>3664657</v>
      </c>
      <c r="S60" s="193">
        <f>'12'!S$76</f>
        <v>714906</v>
      </c>
      <c r="T60" s="190">
        <f>'12'!T$76</f>
        <v>678729.89900000009</v>
      </c>
      <c r="U60" s="191">
        <f>'12'!U$76</f>
        <v>0.99999999999999989</v>
      </c>
      <c r="V60" s="189">
        <f>'12'!V$76</f>
        <v>1847</v>
      </c>
      <c r="W60" s="193">
        <f>'12'!W$76</f>
        <v>3574632</v>
      </c>
      <c r="X60" s="193">
        <f>'12'!X$76</f>
        <v>783627</v>
      </c>
      <c r="Y60" s="190">
        <f>'12'!Y$76</f>
        <v>616658.64400000009</v>
      </c>
      <c r="Z60" s="191">
        <f>'12'!Z$76</f>
        <v>1</v>
      </c>
    </row>
    <row r="61" spans="1:26" x14ac:dyDescent="0.2">
      <c r="A61" s="192" t="str">
        <f>Translation!$A$24&amp;" 17"</f>
        <v>Abbildung 17</v>
      </c>
      <c r="B61" s="189">
        <f>'13'!B$76</f>
        <v>1616</v>
      </c>
      <c r="C61" s="193">
        <f>'13'!C$76</f>
        <v>3850189</v>
      </c>
      <c r="D61" s="193">
        <f>'13'!D$76</f>
        <v>761307</v>
      </c>
      <c r="E61" s="190">
        <f>'13'!E$76</f>
        <v>769277.66599999997</v>
      </c>
      <c r="F61" s="191">
        <f>'13'!F$76</f>
        <v>1</v>
      </c>
      <c r="G61" s="189">
        <f>'13'!G$76</f>
        <v>1643</v>
      </c>
      <c r="H61" s="193">
        <f>'13'!H$76</f>
        <v>3728054</v>
      </c>
      <c r="I61" s="193">
        <f>'13'!I$76</f>
        <v>738727</v>
      </c>
      <c r="J61" s="190">
        <f>'13'!J$76</f>
        <v>732787.75999999989</v>
      </c>
      <c r="K61" s="191">
        <f>'13'!K$76</f>
        <v>1</v>
      </c>
      <c r="L61" s="189">
        <f>'13'!L$76</f>
        <v>1705</v>
      </c>
      <c r="M61" s="193">
        <f>'13'!M$76</f>
        <v>3729812</v>
      </c>
      <c r="N61" s="193">
        <f>'13'!N$76</f>
        <v>734767</v>
      </c>
      <c r="O61" s="190">
        <f>'13'!O$76</f>
        <v>703981.94499999995</v>
      </c>
      <c r="P61" s="191">
        <f>'13'!P$76</f>
        <v>1</v>
      </c>
      <c r="Q61" s="189">
        <f>'13'!Q$76</f>
        <v>1802</v>
      </c>
      <c r="R61" s="193">
        <f>'13'!R$76</f>
        <v>3664657</v>
      </c>
      <c r="S61" s="193">
        <f>'13'!S$76</f>
        <v>714906</v>
      </c>
      <c r="T61" s="190">
        <f>'13'!T$76</f>
        <v>678729.89899999998</v>
      </c>
      <c r="U61" s="191">
        <f>'13'!U$76</f>
        <v>1</v>
      </c>
      <c r="V61" s="189">
        <f>'13'!V$76</f>
        <v>1847</v>
      </c>
      <c r="W61" s="193">
        <f>'13'!W$76</f>
        <v>3574632</v>
      </c>
      <c r="X61" s="193">
        <f>'13'!X$76</f>
        <v>783627</v>
      </c>
      <c r="Y61" s="190">
        <f>'13'!Y$76</f>
        <v>616658.64399999997</v>
      </c>
      <c r="Z61" s="191">
        <f>'13'!Z$76</f>
        <v>1</v>
      </c>
    </row>
    <row r="62" spans="1:26" x14ac:dyDescent="0.2">
      <c r="A62" s="192" t="str">
        <f>Translation!$A$24&amp;" 18"</f>
        <v>Abbildung 18</v>
      </c>
      <c r="B62" s="189">
        <f>'14'!B$76</f>
        <v>1616</v>
      </c>
      <c r="C62" s="193">
        <f>'14'!C$76</f>
        <v>3850189</v>
      </c>
      <c r="D62" s="193">
        <f>'14'!D$76</f>
        <v>761307</v>
      </c>
      <c r="E62" s="190">
        <f>'14'!E$76</f>
        <v>769277.66600000008</v>
      </c>
      <c r="F62" s="191">
        <f>'14'!F$76</f>
        <v>0.99999999999999989</v>
      </c>
      <c r="G62" s="189">
        <f>'14'!G$76</f>
        <v>1643</v>
      </c>
      <c r="H62" s="193">
        <f>'14'!H$76</f>
        <v>3728054</v>
      </c>
      <c r="I62" s="193">
        <f>'14'!I$76</f>
        <v>738727</v>
      </c>
      <c r="J62" s="190">
        <f>'14'!J$76</f>
        <v>732787.76000000013</v>
      </c>
      <c r="K62" s="191">
        <f>'14'!K$76</f>
        <v>0.99999999999999978</v>
      </c>
      <c r="L62" s="189">
        <f>'14'!L$76</f>
        <v>1705</v>
      </c>
      <c r="M62" s="193">
        <f>'14'!M$76</f>
        <v>3729812</v>
      </c>
      <c r="N62" s="193">
        <f>'14'!N$76</f>
        <v>734767</v>
      </c>
      <c r="O62" s="190">
        <f>'14'!O$76</f>
        <v>703981.94499999995</v>
      </c>
      <c r="P62" s="191">
        <f>'14'!P$76</f>
        <v>1</v>
      </c>
      <c r="Q62" s="189">
        <f>'14'!Q$76</f>
        <v>1802</v>
      </c>
      <c r="R62" s="193">
        <f>'14'!R$76</f>
        <v>3664657</v>
      </c>
      <c r="S62" s="193">
        <f>'14'!S$76</f>
        <v>714906</v>
      </c>
      <c r="T62" s="190">
        <f>'14'!T$76</f>
        <v>678729.89900000021</v>
      </c>
      <c r="U62" s="191">
        <f>'14'!U$76</f>
        <v>0.99999999999999978</v>
      </c>
      <c r="V62" s="189">
        <f>'14'!V$76</f>
        <v>1847</v>
      </c>
      <c r="W62" s="193">
        <f>'14'!W$76</f>
        <v>3574632</v>
      </c>
      <c r="X62" s="193">
        <f>'14'!X$76</f>
        <v>783627</v>
      </c>
      <c r="Y62" s="190">
        <f>'14'!Y$76</f>
        <v>616658.64399999985</v>
      </c>
      <c r="Z62" s="191">
        <f>'14'!Z$76</f>
        <v>1.0000000000000002</v>
      </c>
    </row>
    <row r="63" spans="1:26" x14ac:dyDescent="0.2">
      <c r="A63" s="192" t="str">
        <f>Translation!$A$24&amp;" 19"</f>
        <v>Abbildung 19</v>
      </c>
      <c r="B63" s="189">
        <f>'15'!B$76</f>
        <v>1616</v>
      </c>
      <c r="C63" s="193">
        <f>'15'!C$76</f>
        <v>3850189</v>
      </c>
      <c r="D63" s="193">
        <f>'15'!D$76</f>
        <v>761307</v>
      </c>
      <c r="E63" s="190">
        <f>'15'!E$76</f>
        <v>769277.66599999997</v>
      </c>
      <c r="F63" s="191">
        <f>'15'!F$76</f>
        <v>1</v>
      </c>
      <c r="G63" s="189">
        <f>'15'!G$76</f>
        <v>1643</v>
      </c>
      <c r="H63" s="193">
        <f>'15'!H$76</f>
        <v>3728054</v>
      </c>
      <c r="I63" s="193">
        <f>'15'!I$76</f>
        <v>738727</v>
      </c>
      <c r="J63" s="190">
        <f>'15'!J$76</f>
        <v>732787.75999999989</v>
      </c>
      <c r="K63" s="191">
        <f>'15'!K$76</f>
        <v>1</v>
      </c>
      <c r="L63" s="189">
        <f>'15'!L$76</f>
        <v>1705</v>
      </c>
      <c r="M63" s="193">
        <f>'15'!M$76</f>
        <v>3729812</v>
      </c>
      <c r="N63" s="193">
        <f>'15'!N$76</f>
        <v>734767</v>
      </c>
      <c r="O63" s="190">
        <f>'15'!O$76</f>
        <v>703981.94499999995</v>
      </c>
      <c r="P63" s="191">
        <f>'15'!P$76</f>
        <v>1</v>
      </c>
      <c r="Q63" s="189">
        <f>'15'!Q$76</f>
        <v>1802</v>
      </c>
      <c r="R63" s="193">
        <f>'15'!R$76</f>
        <v>3664657</v>
      </c>
      <c r="S63" s="193">
        <f>'15'!S$76</f>
        <v>714906</v>
      </c>
      <c r="T63" s="190">
        <f>'15'!T$76</f>
        <v>678729.89899999998</v>
      </c>
      <c r="U63" s="191">
        <f>'15'!U$76</f>
        <v>1</v>
      </c>
      <c r="V63" s="189">
        <f>'15'!V$76</f>
        <v>1847</v>
      </c>
      <c r="W63" s="193">
        <f>'15'!W$76</f>
        <v>3574632</v>
      </c>
      <c r="X63" s="193">
        <f>'15'!X$76</f>
        <v>783627</v>
      </c>
      <c r="Y63" s="190">
        <f>'15'!Y$76</f>
        <v>616658.64400000009</v>
      </c>
      <c r="Z63" s="191">
        <f>'15'!Z$76</f>
        <v>0.99999999999999989</v>
      </c>
    </row>
    <row r="64" spans="1:26" x14ac:dyDescent="0.2">
      <c r="A64" s="192" t="str">
        <f>Translation!$A$24&amp;" 20"</f>
        <v>Abbildung 20</v>
      </c>
      <c r="B64" s="189">
        <f>'16'!B$76</f>
        <v>1616</v>
      </c>
      <c r="C64" s="193">
        <f>'16'!C$76</f>
        <v>3850189</v>
      </c>
      <c r="D64" s="193">
        <f>'16'!D$76</f>
        <v>761307</v>
      </c>
      <c r="E64" s="190">
        <f>'16'!E$76</f>
        <v>769277.6660000002</v>
      </c>
      <c r="F64" s="191">
        <f>'16'!F$76</f>
        <v>0.99999999999999978</v>
      </c>
      <c r="G64" s="189">
        <f>'16'!G$76</f>
        <v>1643</v>
      </c>
      <c r="H64" s="193">
        <f>'16'!H$76</f>
        <v>3728054</v>
      </c>
      <c r="I64" s="193">
        <f>'16'!I$76</f>
        <v>738727</v>
      </c>
      <c r="J64" s="190">
        <f>'16'!J$76</f>
        <v>732787.76000000013</v>
      </c>
      <c r="K64" s="191">
        <f>'16'!K$76</f>
        <v>0.99999999999999978</v>
      </c>
      <c r="L64" s="189">
        <f>'16'!L$76</f>
        <v>1705</v>
      </c>
      <c r="M64" s="193">
        <f>'16'!M$76</f>
        <v>3729812</v>
      </c>
      <c r="N64" s="193">
        <f>'16'!N$76</f>
        <v>734767</v>
      </c>
      <c r="O64" s="190">
        <f>'16'!O$76</f>
        <v>703981.94499999995</v>
      </c>
      <c r="P64" s="191">
        <f>'16'!P$76</f>
        <v>1</v>
      </c>
      <c r="Q64" s="189">
        <f>'16'!Q$76</f>
        <v>1802</v>
      </c>
      <c r="R64" s="193">
        <f>'16'!R$76</f>
        <v>3664657</v>
      </c>
      <c r="S64" s="193">
        <f>'16'!S$76</f>
        <v>714906</v>
      </c>
      <c r="T64" s="190">
        <f>'16'!T$76</f>
        <v>678729.89899999998</v>
      </c>
      <c r="U64" s="191">
        <f>'16'!U$76</f>
        <v>0.99999999999999989</v>
      </c>
      <c r="V64" s="189">
        <f>'16'!V$76</f>
        <v>1847</v>
      </c>
      <c r="W64" s="193">
        <f>'16'!W$76</f>
        <v>3574632</v>
      </c>
      <c r="X64" s="193">
        <f>'16'!X$76</f>
        <v>783627</v>
      </c>
      <c r="Y64" s="190">
        <f>'16'!Y$76</f>
        <v>616658.64399999997</v>
      </c>
      <c r="Z64" s="191">
        <f>'16'!Z$76</f>
        <v>1</v>
      </c>
    </row>
    <row r="65" spans="1:26" x14ac:dyDescent="0.2">
      <c r="A65" s="192" t="str">
        <f>Translation!$A$24&amp;" 21"</f>
        <v>Abbildung 21</v>
      </c>
      <c r="B65" s="189">
        <f>'17'!B$76</f>
        <v>1616</v>
      </c>
      <c r="C65" s="193">
        <f>'17'!C$76</f>
        <v>3850189</v>
      </c>
      <c r="D65" s="193">
        <f>'17'!D$76</f>
        <v>761307</v>
      </c>
      <c r="E65" s="190">
        <f>'17'!E$76</f>
        <v>769277.66599999997</v>
      </c>
      <c r="F65" s="191">
        <f>'17'!F$76</f>
        <v>1</v>
      </c>
      <c r="G65" s="189">
        <f>'17'!G$76</f>
        <v>1643</v>
      </c>
      <c r="H65" s="193">
        <f>'17'!H$76</f>
        <v>3728054</v>
      </c>
      <c r="I65" s="193">
        <f>'17'!I$76</f>
        <v>738727</v>
      </c>
      <c r="J65" s="190">
        <f>'17'!J$76</f>
        <v>732787.76</v>
      </c>
      <c r="K65" s="191">
        <f>'17'!K$76</f>
        <v>1.0000000000000002</v>
      </c>
      <c r="L65" s="189">
        <f>'17'!L$76</f>
        <v>1705</v>
      </c>
      <c r="M65" s="193">
        <f>'17'!M$76</f>
        <v>3729812</v>
      </c>
      <c r="N65" s="193">
        <f>'17'!N$76</f>
        <v>734767</v>
      </c>
      <c r="O65" s="190">
        <f>'17'!O$76</f>
        <v>703981.94500000007</v>
      </c>
      <c r="P65" s="191">
        <f>'17'!P$76</f>
        <v>1</v>
      </c>
      <c r="Q65" s="189">
        <f>'17'!Q$76</f>
        <v>1802</v>
      </c>
      <c r="R65" s="193">
        <f>'17'!R$76</f>
        <v>3664657</v>
      </c>
      <c r="S65" s="193">
        <f>'17'!S$76</f>
        <v>714906</v>
      </c>
      <c r="T65" s="190">
        <f>'17'!T$76</f>
        <v>678729.89899999998</v>
      </c>
      <c r="U65" s="191">
        <f>'17'!U$76</f>
        <v>1</v>
      </c>
      <c r="V65" s="189">
        <f>'17'!V$76</f>
        <v>0</v>
      </c>
      <c r="W65" s="193">
        <f>'17'!W$76</f>
        <v>0</v>
      </c>
      <c r="X65" s="193">
        <f>'17'!X$76</f>
        <v>0</v>
      </c>
      <c r="Y65" s="190">
        <f>'17'!Y$76</f>
        <v>0</v>
      </c>
      <c r="Z65" s="191">
        <f>'17'!Z$76</f>
        <v>0</v>
      </c>
    </row>
    <row r="66" spans="1:26" x14ac:dyDescent="0.2">
      <c r="A66" s="192" t="str">
        <f>Translation!$A$24&amp;" 22"</f>
        <v>Abbildung 22</v>
      </c>
      <c r="B66" s="189">
        <f>'17'!B$76</f>
        <v>1616</v>
      </c>
      <c r="C66" s="193">
        <f>'17'!C$76</f>
        <v>3850189</v>
      </c>
      <c r="D66" s="193">
        <f>'17'!D$76</f>
        <v>761307</v>
      </c>
      <c r="E66" s="190">
        <f>'17'!E$76</f>
        <v>769277.66599999997</v>
      </c>
      <c r="F66" s="191">
        <f>'17'!F$76</f>
        <v>1</v>
      </c>
      <c r="G66" s="189">
        <f>'17'!G$76</f>
        <v>1643</v>
      </c>
      <c r="H66" s="193">
        <f>'17'!H$76</f>
        <v>3728054</v>
      </c>
      <c r="I66" s="193">
        <f>'17'!I$76</f>
        <v>738727</v>
      </c>
      <c r="J66" s="190">
        <f>'17'!J$76</f>
        <v>732787.76</v>
      </c>
      <c r="K66" s="191">
        <f>'17'!K$76</f>
        <v>1.0000000000000002</v>
      </c>
      <c r="L66" s="189">
        <f>'17'!L$76</f>
        <v>1705</v>
      </c>
      <c r="M66" s="193">
        <f>'17'!M$76</f>
        <v>3729812</v>
      </c>
      <c r="N66" s="193">
        <f>'17'!N$76</f>
        <v>734767</v>
      </c>
      <c r="O66" s="190">
        <f>'17'!O$76</f>
        <v>703981.94500000007</v>
      </c>
      <c r="P66" s="191">
        <f>'17'!P$76</f>
        <v>1</v>
      </c>
      <c r="Q66" s="189">
        <f>'17'!Q$76</f>
        <v>1802</v>
      </c>
      <c r="R66" s="193">
        <f>'17'!R$76</f>
        <v>3664657</v>
      </c>
      <c r="S66" s="193">
        <f>'17'!S$76</f>
        <v>714906</v>
      </c>
      <c r="T66" s="190">
        <f>'17'!T$76</f>
        <v>678729.89899999998</v>
      </c>
      <c r="U66" s="191">
        <f>'17'!U$76</f>
        <v>1</v>
      </c>
      <c r="V66" s="189">
        <f>'17'!V$76</f>
        <v>0</v>
      </c>
      <c r="W66" s="193">
        <f>'17'!W$76</f>
        <v>0</v>
      </c>
      <c r="X66" s="193">
        <f>'17'!X$76</f>
        <v>0</v>
      </c>
      <c r="Y66" s="190">
        <f>'17'!Y$76</f>
        <v>0</v>
      </c>
      <c r="Z66" s="191">
        <f>'17'!Z$76</f>
        <v>0</v>
      </c>
    </row>
    <row r="67" spans="1:26" x14ac:dyDescent="0.2">
      <c r="A67" s="192" t="str">
        <f>Translation!$A$24&amp;" 23"</f>
        <v>Abbildung 23</v>
      </c>
      <c r="B67" s="189">
        <f>'17'!B$76</f>
        <v>1616</v>
      </c>
      <c r="C67" s="193">
        <f>'17'!C$76</f>
        <v>3850189</v>
      </c>
      <c r="D67" s="193">
        <f>'17'!D$76</f>
        <v>761307</v>
      </c>
      <c r="E67" s="190">
        <f>'17'!E$76</f>
        <v>769277.66599999997</v>
      </c>
      <c r="F67" s="191">
        <f>'17'!F$76</f>
        <v>1</v>
      </c>
      <c r="G67" s="189">
        <f>'17'!G$76</f>
        <v>1643</v>
      </c>
      <c r="H67" s="193">
        <f>'17'!H$76</f>
        <v>3728054</v>
      </c>
      <c r="I67" s="193">
        <f>'17'!I$76</f>
        <v>738727</v>
      </c>
      <c r="J67" s="190">
        <f>'17'!J$76</f>
        <v>732787.76</v>
      </c>
      <c r="K67" s="191">
        <f>'17'!K$76</f>
        <v>1.0000000000000002</v>
      </c>
      <c r="L67" s="189">
        <f>'17'!L$76</f>
        <v>1705</v>
      </c>
      <c r="M67" s="193">
        <f>'17'!M$76</f>
        <v>3729812</v>
      </c>
      <c r="N67" s="193">
        <f>'17'!N$76</f>
        <v>734767</v>
      </c>
      <c r="O67" s="190">
        <f>'17'!O$76</f>
        <v>703981.94500000007</v>
      </c>
      <c r="P67" s="191">
        <f>'17'!P$76</f>
        <v>1</v>
      </c>
      <c r="Q67" s="189">
        <f>'17'!Q$76</f>
        <v>1802</v>
      </c>
      <c r="R67" s="193">
        <f>'17'!R$76</f>
        <v>3664657</v>
      </c>
      <c r="S67" s="193">
        <f>'17'!S$76</f>
        <v>714906</v>
      </c>
      <c r="T67" s="190">
        <f>'17'!T$76</f>
        <v>678729.89899999998</v>
      </c>
      <c r="U67" s="191">
        <f>'17'!U$76</f>
        <v>1</v>
      </c>
      <c r="V67" s="189">
        <f>'17'!V$76</f>
        <v>0</v>
      </c>
      <c r="W67" s="193">
        <f>'17'!W$76</f>
        <v>0</v>
      </c>
      <c r="X67" s="193">
        <f>'17'!X$76</f>
        <v>0</v>
      </c>
      <c r="Y67" s="190">
        <f>'17'!Y$76</f>
        <v>0</v>
      </c>
      <c r="Z67" s="191">
        <f>'17'!Z$76</f>
        <v>0</v>
      </c>
    </row>
    <row r="68" spans="1:26" x14ac:dyDescent="0.2">
      <c r="A68" s="192" t="str">
        <f>Translation!$A$24&amp;" 24"</f>
        <v>Abbildung 24</v>
      </c>
      <c r="B68" s="189">
        <f>'19'!B$76</f>
        <v>1616</v>
      </c>
      <c r="C68" s="193">
        <f>'19'!C$76</f>
        <v>3850189</v>
      </c>
      <c r="D68" s="193">
        <f>'19'!D$76</f>
        <v>761307</v>
      </c>
      <c r="E68" s="190">
        <f>'19'!E$76</f>
        <v>769277.66600000008</v>
      </c>
      <c r="F68" s="191">
        <f>'19'!F$76</f>
        <v>1</v>
      </c>
      <c r="G68" s="189">
        <f>'19'!G$76</f>
        <v>1643</v>
      </c>
      <c r="H68" s="193">
        <f>'19'!H$76</f>
        <v>3728054</v>
      </c>
      <c r="I68" s="193">
        <f>'19'!I$76</f>
        <v>738727</v>
      </c>
      <c r="J68" s="190">
        <f>'19'!J$76</f>
        <v>732787.76</v>
      </c>
      <c r="K68" s="191">
        <f>'19'!K$76</f>
        <v>0.99999999999999989</v>
      </c>
      <c r="L68" s="189">
        <f>'19'!L$76</f>
        <v>1705</v>
      </c>
      <c r="M68" s="193">
        <f>'19'!M$76</f>
        <v>3729812</v>
      </c>
      <c r="N68" s="193">
        <f>'19'!N$76</f>
        <v>734767</v>
      </c>
      <c r="O68" s="190">
        <f>'19'!O$76</f>
        <v>703981.94500000007</v>
      </c>
      <c r="P68" s="191">
        <f>'19'!P$76</f>
        <v>1</v>
      </c>
      <c r="Q68" s="189">
        <f>'19'!Q$76</f>
        <v>1802</v>
      </c>
      <c r="R68" s="193">
        <f>'19'!R$76</f>
        <v>3664657</v>
      </c>
      <c r="S68" s="193">
        <f>'19'!S$76</f>
        <v>714906</v>
      </c>
      <c r="T68" s="190">
        <f>'19'!T$76</f>
        <v>678729.89899999998</v>
      </c>
      <c r="U68" s="191">
        <f>'19'!U$76</f>
        <v>1</v>
      </c>
      <c r="V68" s="189">
        <f>'19'!V$76</f>
        <v>1847</v>
      </c>
      <c r="W68" s="193">
        <f>'19'!W$76</f>
        <v>3574632</v>
      </c>
      <c r="X68" s="193">
        <f>'19'!X$76</f>
        <v>783627</v>
      </c>
      <c r="Y68" s="190">
        <f>'19'!Y$76</f>
        <v>616658.64399999997</v>
      </c>
      <c r="Z68" s="191">
        <f>'19'!Z$76</f>
        <v>1</v>
      </c>
    </row>
    <row r="69" spans="1:26" x14ac:dyDescent="0.2">
      <c r="A69" s="192" t="str">
        <f>Translation!$A$24&amp;" 25"</f>
        <v>Abbildung 25</v>
      </c>
      <c r="B69" s="189">
        <f>'20'!B$76</f>
        <v>0</v>
      </c>
      <c r="C69" s="193">
        <f>'20'!C$76</f>
        <v>0</v>
      </c>
      <c r="D69" s="193">
        <f>'20'!D$76</f>
        <v>0</v>
      </c>
      <c r="E69" s="190">
        <f>'20'!E$76</f>
        <v>0</v>
      </c>
      <c r="F69" s="191">
        <f>'20'!F$76</f>
        <v>1</v>
      </c>
      <c r="G69" s="189">
        <f>'20'!G$76</f>
        <v>0</v>
      </c>
      <c r="H69" s="193">
        <f>'20'!H$76</f>
        <v>0</v>
      </c>
      <c r="I69" s="193">
        <f>'20'!I$76</f>
        <v>0</v>
      </c>
      <c r="J69" s="190">
        <f>'20'!J$76</f>
        <v>0</v>
      </c>
      <c r="K69" s="191">
        <f>'20'!K$76</f>
        <v>1</v>
      </c>
      <c r="L69" s="189">
        <f>'20'!L$76</f>
        <v>0</v>
      </c>
      <c r="M69" s="193">
        <f>'20'!M$76</f>
        <v>0</v>
      </c>
      <c r="N69" s="193">
        <f>'20'!N$76</f>
        <v>0</v>
      </c>
      <c r="O69" s="190">
        <f>'20'!O$76</f>
        <v>0</v>
      </c>
      <c r="P69" s="191">
        <f>'20'!P$76</f>
        <v>0.99999999999999989</v>
      </c>
      <c r="Q69" s="189">
        <f>'20'!Q$76</f>
        <v>0</v>
      </c>
      <c r="R69" s="193">
        <f>'20'!R$76</f>
        <v>0</v>
      </c>
      <c r="S69" s="193">
        <f>'20'!S$76</f>
        <v>0</v>
      </c>
      <c r="T69" s="190">
        <f>'20'!T$76</f>
        <v>0</v>
      </c>
      <c r="U69" s="191">
        <f>'20'!U$76</f>
        <v>1.0000000000009999</v>
      </c>
      <c r="V69" s="189">
        <f>'20'!V$76</f>
        <v>0</v>
      </c>
      <c r="W69" s="193">
        <f>'20'!W$76</f>
        <v>0</v>
      </c>
      <c r="X69" s="193">
        <f>'20'!X$76</f>
        <v>0</v>
      </c>
      <c r="Y69" s="190">
        <f>'20'!Y$76</f>
        <v>0</v>
      </c>
      <c r="Z69" s="191">
        <f>'20'!Z$76</f>
        <v>1</v>
      </c>
    </row>
    <row r="70" spans="1:26" x14ac:dyDescent="0.2">
      <c r="A70" s="192" t="str">
        <f>Translation!$A$24&amp;" 26"</f>
        <v>Abbildung 26</v>
      </c>
      <c r="B70" s="189">
        <f>'21'!B$76</f>
        <v>1616</v>
      </c>
      <c r="C70" s="193">
        <f>'21'!C$76</f>
        <v>3850189</v>
      </c>
      <c r="D70" s="193">
        <f>'21'!D$76</f>
        <v>761307</v>
      </c>
      <c r="E70" s="190">
        <f>'21'!E$76</f>
        <v>769277.66599999997</v>
      </c>
      <c r="F70" s="191">
        <f>'21'!F$76</f>
        <v>1</v>
      </c>
      <c r="G70" s="189">
        <f>'21'!G$76</f>
        <v>1643</v>
      </c>
      <c r="H70" s="193">
        <f>'21'!H$76</f>
        <v>3728054</v>
      </c>
      <c r="I70" s="193">
        <f>'21'!I$76</f>
        <v>738727</v>
      </c>
      <c r="J70" s="190">
        <f>'21'!J$76</f>
        <v>732787.75999999989</v>
      </c>
      <c r="K70" s="191">
        <f>'21'!K$76</f>
        <v>1.0000000000000002</v>
      </c>
      <c r="L70" s="189">
        <f>'21'!L$76</f>
        <v>1705</v>
      </c>
      <c r="M70" s="193">
        <f>'21'!M$76</f>
        <v>3729812</v>
      </c>
      <c r="N70" s="193">
        <f>'21'!N$76</f>
        <v>734767</v>
      </c>
      <c r="O70" s="190">
        <f>'21'!O$76</f>
        <v>703981.94499999995</v>
      </c>
      <c r="P70" s="191">
        <f>'21'!P$76</f>
        <v>1</v>
      </c>
      <c r="Q70" s="189">
        <f>'21'!Q$76</f>
        <v>1802</v>
      </c>
      <c r="R70" s="193">
        <f>'21'!R$76</f>
        <v>3664657</v>
      </c>
      <c r="S70" s="193">
        <f>'21'!S$76</f>
        <v>714906</v>
      </c>
      <c r="T70" s="190">
        <f>'21'!T$76</f>
        <v>678729.89899999998</v>
      </c>
      <c r="U70" s="191">
        <f>'21'!U$76</f>
        <v>1</v>
      </c>
      <c r="V70" s="189">
        <f>'21'!V$76</f>
        <v>1847</v>
      </c>
      <c r="W70" s="193">
        <f>'21'!W$76</f>
        <v>3574632</v>
      </c>
      <c r="X70" s="193">
        <f>'21'!X$76</f>
        <v>783627</v>
      </c>
      <c r="Y70" s="190">
        <f>'21'!Y$76</f>
        <v>616658.64399999997</v>
      </c>
      <c r="Z70" s="191">
        <f>'21'!Z$76</f>
        <v>1</v>
      </c>
    </row>
    <row r="71" spans="1:26" x14ac:dyDescent="0.2">
      <c r="A71" s="192" t="str">
        <f>Translation!$A$24&amp;" 28"</f>
        <v>Abbildung 28</v>
      </c>
      <c r="B71" s="189">
        <f>'23'!B$76</f>
        <v>1616</v>
      </c>
      <c r="C71" s="193">
        <f>'23'!C$76</f>
        <v>3850189</v>
      </c>
      <c r="D71" s="193">
        <f>'23'!D$76</f>
        <v>761307</v>
      </c>
      <c r="E71" s="190">
        <f>'23'!E$76</f>
        <v>769277.66599999997</v>
      </c>
      <c r="F71" s="191">
        <f>'23'!F$76</f>
        <v>1</v>
      </c>
      <c r="G71" s="189">
        <f>'23'!G$76</f>
        <v>1643</v>
      </c>
      <c r="H71" s="193">
        <f>'23'!H$76</f>
        <v>3728054</v>
      </c>
      <c r="I71" s="193">
        <f>'23'!I$76</f>
        <v>738727</v>
      </c>
      <c r="J71" s="190">
        <f>'23'!J$76</f>
        <v>732787.76</v>
      </c>
      <c r="K71" s="191">
        <f>'23'!K$76</f>
        <v>1</v>
      </c>
      <c r="L71" s="189">
        <f>'23'!L$76</f>
        <v>1705</v>
      </c>
      <c r="M71" s="193">
        <f>'23'!M$76</f>
        <v>3729812</v>
      </c>
      <c r="N71" s="193">
        <f>'23'!N$76</f>
        <v>734767</v>
      </c>
      <c r="O71" s="190">
        <f>'23'!O$76</f>
        <v>703981.94500000007</v>
      </c>
      <c r="P71" s="191">
        <f>'23'!P$76</f>
        <v>0.99999999999999978</v>
      </c>
      <c r="Q71" s="189">
        <f>'23'!Q$76</f>
        <v>1802</v>
      </c>
      <c r="R71" s="193">
        <f>'23'!R$76</f>
        <v>3664657</v>
      </c>
      <c r="S71" s="193">
        <f>'23'!S$76</f>
        <v>714906</v>
      </c>
      <c r="T71" s="190">
        <f>'23'!T$76</f>
        <v>678729.89899999998</v>
      </c>
      <c r="U71" s="191">
        <f>'23'!U$76</f>
        <v>1</v>
      </c>
      <c r="V71" s="189">
        <f>'23'!V$76</f>
        <v>1847</v>
      </c>
      <c r="W71" s="193">
        <f>'23'!W$76</f>
        <v>3574632</v>
      </c>
      <c r="X71" s="193">
        <f>'23'!X$76</f>
        <v>783627</v>
      </c>
      <c r="Y71" s="190">
        <f>'23'!Y$76</f>
        <v>616658.64400000009</v>
      </c>
      <c r="Z71" s="191">
        <f>'23'!Z$76</f>
        <v>0.99999999999999978</v>
      </c>
    </row>
    <row r="72" spans="1:26" x14ac:dyDescent="0.2">
      <c r="A72" s="192" t="str">
        <f>Translation!$A$24&amp;" 29"</f>
        <v>Abbildung 29</v>
      </c>
      <c r="B72" s="189">
        <f>'24'!B$76</f>
        <v>1616</v>
      </c>
      <c r="C72" s="193">
        <f>'24'!C$76</f>
        <v>3850189</v>
      </c>
      <c r="D72" s="193">
        <f>'24'!D$76</f>
        <v>761307</v>
      </c>
      <c r="E72" s="190">
        <f>'24'!E$76</f>
        <v>769277.66599999997</v>
      </c>
      <c r="F72" s="191">
        <f>'24'!F$76</f>
        <v>1</v>
      </c>
      <c r="G72" s="189">
        <f>'24'!G$76</f>
        <v>1643</v>
      </c>
      <c r="H72" s="193">
        <f>'24'!H$76</f>
        <v>3728054</v>
      </c>
      <c r="I72" s="193">
        <f>'24'!I$76</f>
        <v>738727</v>
      </c>
      <c r="J72" s="190">
        <f>'24'!J$76</f>
        <v>732787.76</v>
      </c>
      <c r="K72" s="191">
        <f>'24'!K$76</f>
        <v>1</v>
      </c>
      <c r="L72" s="189">
        <f>'24'!L$76</f>
        <v>1705</v>
      </c>
      <c r="M72" s="193">
        <f>'24'!M$76</f>
        <v>3729812</v>
      </c>
      <c r="N72" s="193">
        <f>'24'!N$76</f>
        <v>734767</v>
      </c>
      <c r="O72" s="190">
        <f>'24'!O$76</f>
        <v>703981.94500000007</v>
      </c>
      <c r="P72" s="191">
        <f>'24'!P$76</f>
        <v>0.99999999999999978</v>
      </c>
      <c r="Q72" s="189">
        <f>'24'!Q$76</f>
        <v>1802</v>
      </c>
      <c r="R72" s="193">
        <f>'24'!R$76</f>
        <v>3664657</v>
      </c>
      <c r="S72" s="193">
        <f>'24'!S$76</f>
        <v>714906</v>
      </c>
      <c r="T72" s="190">
        <f>'24'!T$76</f>
        <v>678729.89899999998</v>
      </c>
      <c r="U72" s="191">
        <f>'24'!U$76</f>
        <v>1</v>
      </c>
      <c r="V72" s="189">
        <f>'24'!V$76</f>
        <v>0</v>
      </c>
      <c r="W72" s="193">
        <f>'24'!W$76</f>
        <v>0</v>
      </c>
      <c r="X72" s="193">
        <f>'24'!X$76</f>
        <v>0</v>
      </c>
      <c r="Y72" s="190">
        <f>'24'!Y$76</f>
        <v>0</v>
      </c>
      <c r="Z72" s="191">
        <f>'24'!Z$76</f>
        <v>0</v>
      </c>
    </row>
    <row r="73" spans="1:26" x14ac:dyDescent="0.2">
      <c r="A73" s="192" t="str">
        <f>Translation!$A$24&amp;" 30"</f>
        <v>Abbildung 30</v>
      </c>
      <c r="B73" s="189">
        <f>'25'!B$76</f>
        <v>1616</v>
      </c>
      <c r="C73" s="193">
        <f>'25'!C$76</f>
        <v>3850189</v>
      </c>
      <c r="D73" s="193">
        <f>'25'!D$76</f>
        <v>761307</v>
      </c>
      <c r="E73" s="190">
        <f>'25'!E$76</f>
        <v>769277.66599999997</v>
      </c>
      <c r="F73" s="191">
        <f>'25'!F$76</f>
        <v>1</v>
      </c>
      <c r="G73" s="189">
        <f>'25'!G$76</f>
        <v>1643</v>
      </c>
      <c r="H73" s="193">
        <f>'25'!H$76</f>
        <v>3728054</v>
      </c>
      <c r="I73" s="193">
        <f>'25'!I$76</f>
        <v>738727</v>
      </c>
      <c r="J73" s="190">
        <f>'25'!J$76</f>
        <v>732787.76</v>
      </c>
      <c r="K73" s="191">
        <f>'25'!K$76</f>
        <v>1</v>
      </c>
      <c r="L73" s="189">
        <f>'25'!L$76</f>
        <v>1705</v>
      </c>
      <c r="M73" s="193">
        <f>'25'!M$76</f>
        <v>3729812</v>
      </c>
      <c r="N73" s="193">
        <f>'25'!N$76</f>
        <v>734767</v>
      </c>
      <c r="O73" s="190">
        <f>'25'!O$76</f>
        <v>703981.94500000007</v>
      </c>
      <c r="P73" s="191">
        <f>'25'!P$76</f>
        <v>0.99999999999999978</v>
      </c>
      <c r="Q73" s="189">
        <f>'25'!Q$76</f>
        <v>1802</v>
      </c>
      <c r="R73" s="193">
        <f>'25'!R$76</f>
        <v>3664657</v>
      </c>
      <c r="S73" s="193">
        <f>'25'!S$76</f>
        <v>714906</v>
      </c>
      <c r="T73" s="190">
        <f>'25'!T$76</f>
        <v>678729.89899999998</v>
      </c>
      <c r="U73" s="191">
        <f>'25'!U$76</f>
        <v>1</v>
      </c>
      <c r="V73" s="189">
        <f>'25'!V$76</f>
        <v>1847</v>
      </c>
      <c r="W73" s="193">
        <f>'25'!W$76</f>
        <v>3574632</v>
      </c>
      <c r="X73" s="193">
        <f>'25'!X$76</f>
        <v>783627</v>
      </c>
      <c r="Y73" s="190">
        <f>'25'!Y$76</f>
        <v>616658.64399999997</v>
      </c>
      <c r="Z73" s="191">
        <f>'25'!Z$76</f>
        <v>1</v>
      </c>
    </row>
    <row r="74" spans="1:26" x14ac:dyDescent="0.2">
      <c r="A74" s="192" t="str">
        <f>Translation!$A$24&amp;" 31"</f>
        <v>Abbildung 31</v>
      </c>
      <c r="B74" s="189">
        <f>'28'!B$76</f>
        <v>1616</v>
      </c>
      <c r="C74" s="193">
        <f>'28'!C$76</f>
        <v>3850189</v>
      </c>
      <c r="D74" s="193">
        <f>'28'!D$76</f>
        <v>761307</v>
      </c>
      <c r="E74" s="190">
        <f>'28'!E$76</f>
        <v>769277.66600000008</v>
      </c>
      <c r="F74" s="191">
        <f>'28'!F$76</f>
        <v>1</v>
      </c>
      <c r="G74" s="189">
        <f>'28'!G$76</f>
        <v>1643</v>
      </c>
      <c r="H74" s="193">
        <f>'28'!H$76</f>
        <v>3728054</v>
      </c>
      <c r="I74" s="193">
        <f>'28'!I$76</f>
        <v>738727</v>
      </c>
      <c r="J74" s="190">
        <f>'28'!J$76</f>
        <v>732787.76</v>
      </c>
      <c r="K74" s="191">
        <f>'28'!K$76</f>
        <v>1</v>
      </c>
      <c r="L74" s="189">
        <f>'28'!L$76</f>
        <v>1705</v>
      </c>
      <c r="M74" s="193">
        <f>'28'!M$76</f>
        <v>3729812</v>
      </c>
      <c r="N74" s="193">
        <f>'28'!N$76</f>
        <v>734767</v>
      </c>
      <c r="O74" s="190">
        <f>'28'!O$76</f>
        <v>703981.94499999995</v>
      </c>
      <c r="P74" s="191">
        <f>'28'!P$76</f>
        <v>1</v>
      </c>
      <c r="Q74" s="189">
        <f>'28'!Q$76</f>
        <v>1802</v>
      </c>
      <c r="R74" s="193">
        <f>'28'!R$76</f>
        <v>3664657</v>
      </c>
      <c r="S74" s="193">
        <f>'28'!S$76</f>
        <v>714906</v>
      </c>
      <c r="T74" s="190">
        <f>'28'!T$76</f>
        <v>678729.89899999998</v>
      </c>
      <c r="U74" s="191">
        <f>'28'!U$76</f>
        <v>1</v>
      </c>
      <c r="V74" s="189">
        <f>'28'!V$76</f>
        <v>1847</v>
      </c>
      <c r="W74" s="193">
        <f>'28'!W$76</f>
        <v>3574632</v>
      </c>
      <c r="X74" s="193">
        <f>'28'!X$76</f>
        <v>783627</v>
      </c>
      <c r="Y74" s="190">
        <f>'28'!Y$76</f>
        <v>616658.64399999997</v>
      </c>
      <c r="Z74" s="191">
        <f>'28'!Z$76</f>
        <v>1.0000000000000002</v>
      </c>
    </row>
    <row r="75" spans="1:26" x14ac:dyDescent="0.2">
      <c r="A75" s="192" t="str">
        <f>Translation!$A$24&amp;" 32"</f>
        <v>Abbildung 32</v>
      </c>
      <c r="B75" s="189">
        <f>'29'!B$76</f>
        <v>1541</v>
      </c>
      <c r="C75" s="193">
        <f>'29'!C$76</f>
        <v>3847790</v>
      </c>
      <c r="D75" s="193">
        <f>'29'!D$76</f>
        <v>750497</v>
      </c>
      <c r="E75" s="190">
        <f>'29'!E$76</f>
        <v>765032.85499999998</v>
      </c>
      <c r="F75" s="191">
        <f>'29'!F$76</f>
        <v>1</v>
      </c>
      <c r="G75" s="189">
        <f>'29'!G$76</f>
        <v>1569</v>
      </c>
      <c r="H75" s="193">
        <f>'29'!H$76</f>
        <v>3725904</v>
      </c>
      <c r="I75" s="193">
        <f>'29'!I$76</f>
        <v>728575</v>
      </c>
      <c r="J75" s="190">
        <f>'29'!J$76</f>
        <v>728857.81499999994</v>
      </c>
      <c r="K75" s="191">
        <f>'29'!K$76</f>
        <v>1</v>
      </c>
      <c r="L75" s="189">
        <f>'29'!L$76</f>
        <v>1628</v>
      </c>
      <c r="M75" s="193">
        <f>'29'!M$76</f>
        <v>3720929</v>
      </c>
      <c r="N75" s="193">
        <f>'29'!N$76</f>
        <v>722270</v>
      </c>
      <c r="O75" s="190">
        <f>'29'!O$76</f>
        <v>697324.42099999997</v>
      </c>
      <c r="P75" s="191">
        <f>'29'!P$76</f>
        <v>1</v>
      </c>
      <c r="Q75" s="189">
        <f>'29'!Q$76</f>
        <v>1717</v>
      </c>
      <c r="R75" s="193">
        <f>'29'!R$76</f>
        <v>3654391</v>
      </c>
      <c r="S75" s="193">
        <f>'29'!S$76</f>
        <v>707000</v>
      </c>
      <c r="T75" s="190">
        <f>'29'!T$76</f>
        <v>673489.696</v>
      </c>
      <c r="U75" s="191">
        <f>'29'!U$76</f>
        <v>1</v>
      </c>
      <c r="V75" s="189">
        <f>'29'!V$76</f>
        <v>1749</v>
      </c>
      <c r="W75" s="193">
        <f>'29'!W$76</f>
        <v>3564545</v>
      </c>
      <c r="X75" s="193">
        <f>'29'!X$76</f>
        <v>777346</v>
      </c>
      <c r="Y75" s="190">
        <f>'29'!Y$76</f>
        <v>613175.91700000013</v>
      </c>
      <c r="Z75" s="191">
        <f>'29'!Z$76</f>
        <v>0.99999999999999978</v>
      </c>
    </row>
    <row r="76" spans="1:26" x14ac:dyDescent="0.2">
      <c r="A76" s="192" t="str">
        <f>Translation!$A$24&amp;" 33"</f>
        <v>Abbildung 33</v>
      </c>
      <c r="B76" s="189">
        <f>'30'!B$76</f>
        <v>1616</v>
      </c>
      <c r="C76" s="193">
        <f>'30'!C$76</f>
        <v>3850189</v>
      </c>
      <c r="D76" s="193">
        <f>'30'!D$76</f>
        <v>761307</v>
      </c>
      <c r="E76" s="190">
        <f>'30'!E$76</f>
        <v>769277.66599999997</v>
      </c>
      <c r="F76" s="191">
        <f>'30'!F$76</f>
        <v>1</v>
      </c>
      <c r="G76" s="189">
        <f>'30'!G$76</f>
        <v>1643</v>
      </c>
      <c r="H76" s="193">
        <f>'30'!H$76</f>
        <v>3728054</v>
      </c>
      <c r="I76" s="193">
        <f>'30'!I$76</f>
        <v>738727</v>
      </c>
      <c r="J76" s="190">
        <f>'30'!J$76</f>
        <v>732787.76</v>
      </c>
      <c r="K76" s="191">
        <f>'30'!K$76</f>
        <v>1</v>
      </c>
      <c r="L76" s="189">
        <f>'30'!L$76</f>
        <v>1705</v>
      </c>
      <c r="M76" s="193">
        <f>'30'!M$76</f>
        <v>3729812</v>
      </c>
      <c r="N76" s="193">
        <f>'30'!N$76</f>
        <v>734767</v>
      </c>
      <c r="O76" s="190">
        <f>'30'!O$76</f>
        <v>703981.94499999995</v>
      </c>
      <c r="P76" s="191">
        <f>'30'!P$76</f>
        <v>1</v>
      </c>
      <c r="Q76" s="189">
        <f>'30'!Q$76</f>
        <v>1802</v>
      </c>
      <c r="R76" s="193">
        <f>'30'!R$76</f>
        <v>3664657</v>
      </c>
      <c r="S76" s="193">
        <f>'30'!S$76</f>
        <v>714906</v>
      </c>
      <c r="T76" s="190">
        <f>'30'!T$76</f>
        <v>678729.89899999998</v>
      </c>
      <c r="U76" s="191">
        <f>'30'!U$76</f>
        <v>1</v>
      </c>
      <c r="V76" s="189">
        <f>'30'!V$76</f>
        <v>1847</v>
      </c>
      <c r="W76" s="193">
        <f>'30'!W$76</f>
        <v>3574632</v>
      </c>
      <c r="X76" s="193">
        <f>'30'!X$76</f>
        <v>783627</v>
      </c>
      <c r="Y76" s="190">
        <f>'30'!Y$76</f>
        <v>616658.64399999997</v>
      </c>
      <c r="Z76" s="191">
        <f>'30'!Z$76</f>
        <v>1</v>
      </c>
    </row>
    <row r="77" spans="1:26" x14ac:dyDescent="0.2">
      <c r="A77" s="192" t="str">
        <f>Translation!$A$24&amp;" 34"</f>
        <v>Abbildung 34</v>
      </c>
      <c r="B77" s="189">
        <f>'31'!B$76</f>
        <v>1616</v>
      </c>
      <c r="C77" s="193">
        <f>'31'!C$76</f>
        <v>3850189</v>
      </c>
      <c r="D77" s="193">
        <f>'31'!D$76</f>
        <v>761307</v>
      </c>
      <c r="E77" s="190">
        <f>'31'!E$76</f>
        <v>769277.66599999997</v>
      </c>
      <c r="F77" s="191">
        <f>'31'!F$76</f>
        <v>1</v>
      </c>
      <c r="G77" s="189">
        <f>'31'!G$76</f>
        <v>1643</v>
      </c>
      <c r="H77" s="193">
        <f>'31'!H$76</f>
        <v>3728054</v>
      </c>
      <c r="I77" s="193">
        <f>'31'!I$76</f>
        <v>738727</v>
      </c>
      <c r="J77" s="190">
        <f>'31'!J$76</f>
        <v>732787.76000000013</v>
      </c>
      <c r="K77" s="191">
        <f>'31'!K$76</f>
        <v>0.99999999999999978</v>
      </c>
      <c r="L77" s="189">
        <f>'31'!L$76</f>
        <v>1705</v>
      </c>
      <c r="M77" s="193">
        <f>'31'!M$76</f>
        <v>3729812</v>
      </c>
      <c r="N77" s="193">
        <f>'31'!N$76</f>
        <v>734767</v>
      </c>
      <c r="O77" s="190">
        <f>'31'!O$76</f>
        <v>703981.94500000007</v>
      </c>
      <c r="P77" s="191">
        <f>'31'!P$76</f>
        <v>1</v>
      </c>
      <c r="Q77" s="189">
        <f>'31'!Q$76</f>
        <v>1802</v>
      </c>
      <c r="R77" s="193">
        <f>'31'!R$76</f>
        <v>3664657</v>
      </c>
      <c r="S77" s="193">
        <f>'31'!S$76</f>
        <v>714906</v>
      </c>
      <c r="T77" s="190">
        <f>'31'!T$76</f>
        <v>678729.89899999998</v>
      </c>
      <c r="U77" s="191">
        <f>'31'!U$76</f>
        <v>1</v>
      </c>
      <c r="V77" s="189">
        <f>'31'!V$76</f>
        <v>1847</v>
      </c>
      <c r="W77" s="193">
        <f>'31'!W$76</f>
        <v>3574632</v>
      </c>
      <c r="X77" s="193">
        <f>'31'!X$76</f>
        <v>783627</v>
      </c>
      <c r="Y77" s="190">
        <f>'31'!Y$76</f>
        <v>616658.64400000009</v>
      </c>
      <c r="Z77" s="191">
        <f>'31'!Z$76</f>
        <v>0.99999999999999989</v>
      </c>
    </row>
    <row r="78" spans="1:26" x14ac:dyDescent="0.2">
      <c r="A78" s="192" t="str">
        <f>Translation!$A$24&amp;" 35"</f>
        <v>Abbildung 35</v>
      </c>
      <c r="B78" s="189">
        <f>'32'!B$76</f>
        <v>1616</v>
      </c>
      <c r="C78" s="193">
        <f>'32'!C$76</f>
        <v>3850189</v>
      </c>
      <c r="D78" s="193">
        <f>'32'!D$76</f>
        <v>761307</v>
      </c>
      <c r="E78" s="190">
        <f>'32'!E$76</f>
        <v>769277.66599999997</v>
      </c>
      <c r="F78" s="191">
        <f>'32'!F$76</f>
        <v>1</v>
      </c>
      <c r="G78" s="189">
        <f>'32'!G$76</f>
        <v>1643</v>
      </c>
      <c r="H78" s="193">
        <f>'32'!H$76</f>
        <v>3728054</v>
      </c>
      <c r="I78" s="193">
        <f>'32'!I$76</f>
        <v>738727</v>
      </c>
      <c r="J78" s="190">
        <f>'32'!J$76</f>
        <v>732787.75999999989</v>
      </c>
      <c r="K78" s="191">
        <f>'32'!K$76</f>
        <v>1.0000000000000002</v>
      </c>
      <c r="L78" s="189">
        <f>'32'!L$76</f>
        <v>1705</v>
      </c>
      <c r="M78" s="193">
        <f>'32'!M$76</f>
        <v>3729812</v>
      </c>
      <c r="N78" s="193">
        <f>'32'!N$76</f>
        <v>734767</v>
      </c>
      <c r="O78" s="190">
        <f>'32'!O$76</f>
        <v>703981.94500000007</v>
      </c>
      <c r="P78" s="191">
        <f>'32'!P$76</f>
        <v>0.99999999999999989</v>
      </c>
      <c r="Q78" s="189">
        <f>'32'!Q$76</f>
        <v>1802</v>
      </c>
      <c r="R78" s="193">
        <f>'32'!R$76</f>
        <v>3664657</v>
      </c>
      <c r="S78" s="193">
        <f>'32'!S$76</f>
        <v>714906</v>
      </c>
      <c r="T78" s="190">
        <f>'32'!T$76</f>
        <v>678729.89899999998</v>
      </c>
      <c r="U78" s="191">
        <f>'32'!U$76</f>
        <v>1</v>
      </c>
      <c r="V78" s="189">
        <f>'32'!V$76</f>
        <v>1847</v>
      </c>
      <c r="W78" s="193">
        <f>'32'!W$76</f>
        <v>3574632</v>
      </c>
      <c r="X78" s="193">
        <f>'32'!X$76</f>
        <v>783627</v>
      </c>
      <c r="Y78" s="190">
        <f>'32'!Y$76</f>
        <v>616658.64400000009</v>
      </c>
      <c r="Z78" s="191">
        <f>'32'!Z$76</f>
        <v>0.99999999999999978</v>
      </c>
    </row>
    <row r="79" spans="1:26" x14ac:dyDescent="0.2">
      <c r="A79" s="192" t="str">
        <f>Translation!$A$24&amp;" 38"</f>
        <v>Abbildung 38</v>
      </c>
      <c r="B79" s="189">
        <f>'35'!B$76</f>
        <v>0</v>
      </c>
      <c r="C79" s="193">
        <f>'35'!C$76</f>
        <v>0</v>
      </c>
      <c r="D79" s="193">
        <f>'35'!D$76</f>
        <v>0</v>
      </c>
      <c r="E79" s="190">
        <f>'35'!E$76</f>
        <v>0</v>
      </c>
      <c r="F79" s="191">
        <f>'35'!F$76</f>
        <v>0</v>
      </c>
      <c r="G79" s="189">
        <f>'35'!G$76</f>
        <v>0</v>
      </c>
      <c r="H79" s="193">
        <f>'35'!H$76</f>
        <v>0</v>
      </c>
      <c r="I79" s="193">
        <f>'35'!I$76</f>
        <v>0</v>
      </c>
      <c r="J79" s="190">
        <f>'35'!J$76</f>
        <v>0</v>
      </c>
      <c r="K79" s="191">
        <f>'35'!K$76</f>
        <v>0</v>
      </c>
      <c r="L79" s="189">
        <f>'35'!L$76</f>
        <v>0</v>
      </c>
      <c r="M79" s="193">
        <f>'35'!M$76</f>
        <v>0</v>
      </c>
      <c r="N79" s="193">
        <f>'35'!N$76</f>
        <v>0</v>
      </c>
      <c r="O79" s="190">
        <f>'35'!O$76</f>
        <v>0</v>
      </c>
      <c r="P79" s="191">
        <f>'35'!P$76</f>
        <v>0</v>
      </c>
      <c r="Q79" s="189">
        <f>'35'!Q$76</f>
        <v>0</v>
      </c>
      <c r="R79" s="193">
        <f>'35'!R$76</f>
        <v>0</v>
      </c>
      <c r="S79" s="193">
        <f>'35'!S$76</f>
        <v>0</v>
      </c>
      <c r="T79" s="190">
        <f>'35'!T$76</f>
        <v>0</v>
      </c>
      <c r="U79" s="191">
        <f>'35'!U$76</f>
        <v>0</v>
      </c>
      <c r="V79" s="189">
        <f>'35'!V$76</f>
        <v>0</v>
      </c>
      <c r="W79" s="193">
        <f>'35'!W$76</f>
        <v>0</v>
      </c>
      <c r="X79" s="193">
        <f>'35'!X$76</f>
        <v>0</v>
      </c>
      <c r="Y79" s="190">
        <f>'35'!Y$76</f>
        <v>0</v>
      </c>
      <c r="Z79" s="191">
        <f>'35'!Z$76</f>
        <v>0</v>
      </c>
    </row>
    <row r="80" spans="1:26" x14ac:dyDescent="0.2">
      <c r="A80" s="192" t="str">
        <f>Translation!$A$24&amp;" 43"</f>
        <v>Abbildung 43</v>
      </c>
      <c r="B80" s="189">
        <f>'40'!B$76</f>
        <v>1616</v>
      </c>
      <c r="C80" s="193">
        <f>'40'!C$76</f>
        <v>3850189</v>
      </c>
      <c r="D80" s="193">
        <f>'40'!D$76</f>
        <v>761307</v>
      </c>
      <c r="E80" s="190">
        <f>'40'!E$76</f>
        <v>769277.66600000008</v>
      </c>
      <c r="F80" s="191">
        <f>'40'!F$76</f>
        <v>1</v>
      </c>
      <c r="G80" s="189">
        <f>'40'!G$76</f>
        <v>1643</v>
      </c>
      <c r="H80" s="193">
        <f>'40'!H$76</f>
        <v>3728054</v>
      </c>
      <c r="I80" s="193">
        <f>'40'!I$76</f>
        <v>738727</v>
      </c>
      <c r="J80" s="190">
        <f>'40'!J$76</f>
        <v>732787.76</v>
      </c>
      <c r="K80" s="191">
        <f>'40'!K$76</f>
        <v>1</v>
      </c>
      <c r="L80" s="189">
        <f>'40'!L$76</f>
        <v>1705</v>
      </c>
      <c r="M80" s="193">
        <f>'40'!M$76</f>
        <v>3729812</v>
      </c>
      <c r="N80" s="193">
        <f>'40'!N$76</f>
        <v>734767</v>
      </c>
      <c r="O80" s="190">
        <f>'40'!O$76</f>
        <v>703981.94499999995</v>
      </c>
      <c r="P80" s="191">
        <f>'40'!P$76</f>
        <v>1</v>
      </c>
      <c r="Q80" s="189">
        <f>'40'!Q$76</f>
        <v>1802</v>
      </c>
      <c r="R80" s="193">
        <f>'40'!R$76</f>
        <v>3664657</v>
      </c>
      <c r="S80" s="193">
        <f>'40'!S$76</f>
        <v>714906</v>
      </c>
      <c r="T80" s="190">
        <f>'40'!T$76</f>
        <v>678729.89899999998</v>
      </c>
      <c r="U80" s="191">
        <f>'40'!U$76</f>
        <v>1</v>
      </c>
      <c r="V80" s="189">
        <f>'40'!V$76</f>
        <v>1847</v>
      </c>
      <c r="W80" s="193">
        <f>'40'!W$76</f>
        <v>3574632</v>
      </c>
      <c r="X80" s="193">
        <f>'40'!X$76</f>
        <v>783627</v>
      </c>
      <c r="Y80" s="190">
        <f>'40'!Y$76</f>
        <v>616658.64399999997</v>
      </c>
      <c r="Z80" s="191">
        <f>'40'!Z$76</f>
        <v>1</v>
      </c>
    </row>
    <row r="81" spans="1:26" x14ac:dyDescent="0.2">
      <c r="A81" s="192" t="str">
        <f>Translation!$A$24&amp;" 44"</f>
        <v>Abbildung 44</v>
      </c>
      <c r="B81" s="189">
        <f>'41'!B$76</f>
        <v>1616</v>
      </c>
      <c r="C81" s="193">
        <f>'41'!C$76</f>
        <v>3850189</v>
      </c>
      <c r="D81" s="193">
        <f>'41'!D$76</f>
        <v>761307</v>
      </c>
      <c r="E81" s="190">
        <f>'41'!E$76</f>
        <v>769277.66600000008</v>
      </c>
      <c r="F81" s="191">
        <f>'41'!F$76</f>
        <v>1</v>
      </c>
      <c r="G81" s="189">
        <f>'41'!G$76</f>
        <v>1643</v>
      </c>
      <c r="H81" s="193">
        <f>'41'!H$76</f>
        <v>3728054</v>
      </c>
      <c r="I81" s="193">
        <f>'41'!I$76</f>
        <v>738727</v>
      </c>
      <c r="J81" s="190">
        <f>'41'!J$76</f>
        <v>732787.76</v>
      </c>
      <c r="K81" s="191">
        <f>'41'!K$76</f>
        <v>1</v>
      </c>
      <c r="L81" s="189">
        <f>'41'!L$76</f>
        <v>1705</v>
      </c>
      <c r="M81" s="193">
        <f>'41'!M$76</f>
        <v>3729812</v>
      </c>
      <c r="N81" s="193">
        <f>'41'!N$76</f>
        <v>734767</v>
      </c>
      <c r="O81" s="190">
        <f>'41'!O$76</f>
        <v>703981.94499999995</v>
      </c>
      <c r="P81" s="191">
        <f>'41'!P$76</f>
        <v>1</v>
      </c>
      <c r="Q81" s="189">
        <f>'41'!Q$76</f>
        <v>1802</v>
      </c>
      <c r="R81" s="193">
        <f>'41'!R$76</f>
        <v>3664657</v>
      </c>
      <c r="S81" s="193">
        <f>'41'!S$76</f>
        <v>714906</v>
      </c>
      <c r="T81" s="190">
        <f>'41'!T$76</f>
        <v>678729.89899999998</v>
      </c>
      <c r="U81" s="191">
        <f>'41'!U$76</f>
        <v>1</v>
      </c>
      <c r="V81" s="189">
        <f>'41'!V$76</f>
        <v>1847</v>
      </c>
      <c r="W81" s="193">
        <f>'41'!W$76</f>
        <v>3574632</v>
      </c>
      <c r="X81" s="193">
        <f>'41'!X$76</f>
        <v>783627</v>
      </c>
      <c r="Y81" s="190">
        <f>'41'!Y$76</f>
        <v>616658.64399999997</v>
      </c>
      <c r="Z81" s="191">
        <f>'41'!Z$76</f>
        <v>1</v>
      </c>
    </row>
    <row r="82" spans="1:26" x14ac:dyDescent="0.2">
      <c r="A82" s="192" t="str">
        <f>Translation!$A$24&amp;" 45"</f>
        <v>Abbildung 45</v>
      </c>
      <c r="B82" s="189">
        <f>'42'!B$76</f>
        <v>1616</v>
      </c>
      <c r="C82" s="193">
        <f>'42'!C$76</f>
        <v>3850189</v>
      </c>
      <c r="D82" s="193">
        <f>'42'!D$76</f>
        <v>761307</v>
      </c>
      <c r="E82" s="190">
        <f>'42'!E$76</f>
        <v>769277.66599999997</v>
      </c>
      <c r="F82" s="191">
        <f>'42'!F$76</f>
        <v>1</v>
      </c>
      <c r="G82" s="189">
        <f>'42'!G$76</f>
        <v>1643</v>
      </c>
      <c r="H82" s="193">
        <f>'42'!H$76</f>
        <v>3728054</v>
      </c>
      <c r="I82" s="193">
        <f>'42'!I$76</f>
        <v>738727</v>
      </c>
      <c r="J82" s="190">
        <f>'42'!J$76</f>
        <v>732787.75999999989</v>
      </c>
      <c r="K82" s="191">
        <f>'42'!K$76</f>
        <v>1.0000000000000002</v>
      </c>
      <c r="L82" s="189">
        <f>'42'!L$76</f>
        <v>1705</v>
      </c>
      <c r="M82" s="193">
        <f>'42'!M$76</f>
        <v>3729812</v>
      </c>
      <c r="N82" s="193">
        <f>'42'!N$76</f>
        <v>734767</v>
      </c>
      <c r="O82" s="190">
        <f>'42'!O$76</f>
        <v>703981.94500000007</v>
      </c>
      <c r="P82" s="191">
        <f>'42'!P$76</f>
        <v>1</v>
      </c>
      <c r="Q82" s="189">
        <f>'42'!Q$76</f>
        <v>1802</v>
      </c>
      <c r="R82" s="193">
        <f>'42'!R$76</f>
        <v>3664657</v>
      </c>
      <c r="S82" s="193">
        <f>'42'!S$76</f>
        <v>714906</v>
      </c>
      <c r="T82" s="190">
        <f>'42'!T$76</f>
        <v>678729.89899999998</v>
      </c>
      <c r="U82" s="191">
        <f>'42'!U$76</f>
        <v>1</v>
      </c>
      <c r="V82" s="189">
        <f>'42'!V$76</f>
        <v>1847</v>
      </c>
      <c r="W82" s="193">
        <f>'42'!W$76</f>
        <v>3574632</v>
      </c>
      <c r="X82" s="193">
        <f>'42'!X$76</f>
        <v>783627</v>
      </c>
      <c r="Y82" s="190">
        <f>'42'!Y$76</f>
        <v>616658.64400000009</v>
      </c>
      <c r="Z82" s="191">
        <f>'42'!Z$76</f>
        <v>0.99999999999999978</v>
      </c>
    </row>
    <row r="83" spans="1:26" x14ac:dyDescent="0.2">
      <c r="A83" s="192" t="str">
        <f>Translation!$A$24&amp;" 46"</f>
        <v>Abbildung 46</v>
      </c>
      <c r="B83" s="189">
        <f>'43'!B$76</f>
        <v>1616</v>
      </c>
      <c r="C83" s="193">
        <f>'43'!C$76</f>
        <v>3850189</v>
      </c>
      <c r="D83" s="193">
        <f>'43'!D$76</f>
        <v>761307</v>
      </c>
      <c r="E83" s="190">
        <f>'43'!E$76</f>
        <v>769277.66599999997</v>
      </c>
      <c r="F83" s="191">
        <f>'43'!F$76</f>
        <v>1</v>
      </c>
      <c r="G83" s="189">
        <f>'43'!G$76</f>
        <v>1643</v>
      </c>
      <c r="H83" s="193">
        <f>'43'!H$76</f>
        <v>3728054</v>
      </c>
      <c r="I83" s="193">
        <f>'43'!I$76</f>
        <v>738727</v>
      </c>
      <c r="J83" s="190">
        <f>'43'!J$76</f>
        <v>732787.76</v>
      </c>
      <c r="K83" s="191">
        <f>'43'!K$76</f>
        <v>0.99999999999999989</v>
      </c>
      <c r="L83" s="189">
        <f>'43'!L$76</f>
        <v>1705</v>
      </c>
      <c r="M83" s="193">
        <f>'43'!M$76</f>
        <v>3729812</v>
      </c>
      <c r="N83" s="193">
        <f>'43'!N$76</f>
        <v>734767</v>
      </c>
      <c r="O83" s="190">
        <f>'43'!O$76</f>
        <v>703981.94499999995</v>
      </c>
      <c r="P83" s="191">
        <f>'43'!P$76</f>
        <v>1</v>
      </c>
      <c r="Q83" s="189">
        <f>'43'!Q$76</f>
        <v>1802</v>
      </c>
      <c r="R83" s="193">
        <f>'43'!R$76</f>
        <v>3664657</v>
      </c>
      <c r="S83" s="193">
        <f>'43'!S$76</f>
        <v>714906</v>
      </c>
      <c r="T83" s="190">
        <f>'43'!T$76</f>
        <v>678729.89899999998</v>
      </c>
      <c r="U83" s="191">
        <f>'43'!U$76</f>
        <v>1</v>
      </c>
      <c r="V83" s="189">
        <f>'43'!V$76</f>
        <v>1847</v>
      </c>
      <c r="W83" s="193">
        <f>'43'!W$76</f>
        <v>3574632</v>
      </c>
      <c r="X83" s="193">
        <f>'43'!X$76</f>
        <v>783627</v>
      </c>
      <c r="Y83" s="190">
        <f>'43'!Y$76</f>
        <v>616658.64399999997</v>
      </c>
      <c r="Z83" s="191">
        <f>'43'!Z$76</f>
        <v>1</v>
      </c>
    </row>
    <row r="84" spans="1:26" x14ac:dyDescent="0.2">
      <c r="A84" s="192" t="str">
        <f>Translation!$A$27&amp;" 1"</f>
        <v>Bonus 1</v>
      </c>
      <c r="B84" s="189">
        <f>'B 1'!B$76</f>
        <v>1616</v>
      </c>
      <c r="C84" s="193">
        <f>'B 1'!C$76</f>
        <v>3850189</v>
      </c>
      <c r="D84" s="193">
        <f>'B 1'!D$76</f>
        <v>761307</v>
      </c>
      <c r="E84" s="190">
        <f>'B 1'!E$76</f>
        <v>769277.66599999997</v>
      </c>
      <c r="F84" s="191">
        <f>'B 1'!F$76</f>
        <v>1.0000000000000002</v>
      </c>
      <c r="G84" s="189">
        <f>'B 1'!G$76</f>
        <v>1643</v>
      </c>
      <c r="H84" s="193">
        <f>'B 1'!H$76</f>
        <v>3728054</v>
      </c>
      <c r="I84" s="193">
        <f>'B 1'!I$76</f>
        <v>738727</v>
      </c>
      <c r="J84" s="190">
        <f>'B 1'!J$76</f>
        <v>732787.76</v>
      </c>
      <c r="K84" s="191">
        <f>'B 1'!K$76</f>
        <v>1</v>
      </c>
      <c r="L84" s="189">
        <f>'B 1'!L$76</f>
        <v>1705</v>
      </c>
      <c r="M84" s="193">
        <f>'B 1'!M$76</f>
        <v>3729812</v>
      </c>
      <c r="N84" s="193">
        <f>'B 1'!N$76</f>
        <v>734767</v>
      </c>
      <c r="O84" s="190">
        <f>'B 1'!O$76</f>
        <v>703981.94500000007</v>
      </c>
      <c r="P84" s="191">
        <f>'B 1'!P$76</f>
        <v>0.99999999999999989</v>
      </c>
      <c r="Q84" s="189">
        <f>'B 1'!Q$76</f>
        <v>1802</v>
      </c>
      <c r="R84" s="193">
        <f>'B 1'!R$76</f>
        <v>3664657</v>
      </c>
      <c r="S84" s="193">
        <f>'B 1'!S$76</f>
        <v>714906</v>
      </c>
      <c r="T84" s="190">
        <f>'B 1'!T$76</f>
        <v>678729.89899999998</v>
      </c>
      <c r="U84" s="191">
        <f>'B 1'!U$76</f>
        <v>1</v>
      </c>
      <c r="V84" s="189">
        <f>'B 1'!V$76</f>
        <v>1847</v>
      </c>
      <c r="W84" s="193">
        <f>'B 1'!W$76</f>
        <v>3574632</v>
      </c>
      <c r="X84" s="193">
        <f>'B 1'!X$76</f>
        <v>783627</v>
      </c>
      <c r="Y84" s="190">
        <f>'B 1'!Y$76</f>
        <v>616658.64399999997</v>
      </c>
      <c r="Z84" s="191">
        <f>'B 1'!Z$76</f>
        <v>1</v>
      </c>
    </row>
    <row r="85" spans="1:26" x14ac:dyDescent="0.2">
      <c r="A85" s="192" t="str">
        <f>Translation!$A$27&amp;" 2"</f>
        <v>Bonus 2</v>
      </c>
      <c r="B85" s="189">
        <f>'26'!B$76</f>
        <v>1616</v>
      </c>
      <c r="C85" s="193">
        <f>'26'!C$76</f>
        <v>3850189</v>
      </c>
      <c r="D85" s="193">
        <f>'26'!D$76</f>
        <v>761307</v>
      </c>
      <c r="E85" s="190">
        <f>'26'!E$76</f>
        <v>769277.66599999997</v>
      </c>
      <c r="F85" s="191">
        <f>'26'!F$76</f>
        <v>1</v>
      </c>
      <c r="G85" s="189">
        <f>'26'!G$76</f>
        <v>1643</v>
      </c>
      <c r="H85" s="193">
        <f>'26'!H$76</f>
        <v>3728054</v>
      </c>
      <c r="I85" s="193">
        <f>'26'!I$76</f>
        <v>738727</v>
      </c>
      <c r="J85" s="190">
        <f>'26'!J$76</f>
        <v>732787.76</v>
      </c>
      <c r="K85" s="191">
        <f>'26'!K$76</f>
        <v>0.99999999999999989</v>
      </c>
      <c r="L85" s="189">
        <f>'26'!L$76</f>
        <v>1705</v>
      </c>
      <c r="M85" s="193">
        <f>'26'!M$76</f>
        <v>3729812</v>
      </c>
      <c r="N85" s="193">
        <f>'26'!N$76</f>
        <v>734767</v>
      </c>
      <c r="O85" s="190">
        <f>'26'!O$76</f>
        <v>703981.94500000007</v>
      </c>
      <c r="P85" s="191">
        <f>'26'!P$76</f>
        <v>1</v>
      </c>
      <c r="Q85" s="189">
        <f>'26'!Q$76</f>
        <v>1802</v>
      </c>
      <c r="R85" s="193">
        <f>'26'!R$76</f>
        <v>3664657</v>
      </c>
      <c r="S85" s="193">
        <f>'26'!S$76</f>
        <v>714906</v>
      </c>
      <c r="T85" s="190">
        <f>'26'!T$76</f>
        <v>678729.89899999998</v>
      </c>
      <c r="U85" s="191">
        <f>'26'!U$76</f>
        <v>0.99999999999999989</v>
      </c>
      <c r="V85" s="189">
        <f>'26'!V$76</f>
        <v>1847</v>
      </c>
      <c r="W85" s="193">
        <f>'26'!W$76</f>
        <v>3574632</v>
      </c>
      <c r="X85" s="193">
        <f>'26'!X$76</f>
        <v>783627</v>
      </c>
      <c r="Y85" s="190">
        <f>'26'!Y$76</f>
        <v>616658.64400000009</v>
      </c>
      <c r="Z85" s="191">
        <f>'26'!Z$76</f>
        <v>0.99999999999999989</v>
      </c>
    </row>
    <row r="86" spans="1:26" x14ac:dyDescent="0.2">
      <c r="W86" s="193"/>
      <c r="X86" s="193"/>
    </row>
    <row r="89" spans="1:26" x14ac:dyDescent="0.2">
      <c r="C89" s="193"/>
      <c r="D89" s="193"/>
      <c r="H89" s="193"/>
      <c r="I89" s="193"/>
      <c r="M89" s="193"/>
      <c r="N89" s="193"/>
      <c r="R89" s="193"/>
      <c r="S89" s="193"/>
      <c r="W89" s="193"/>
      <c r="X89" s="193"/>
    </row>
    <row r="96" spans="1:26" x14ac:dyDescent="0.2">
      <c r="A96" s="117" t="str">
        <f>Translation!$A$31</f>
        <v>Vorsorgeeinrichtungen mit Staatsgarantie</v>
      </c>
    </row>
    <row r="97" spans="1:26" x14ac:dyDescent="0.2">
      <c r="A97" s="192" t="str">
        <f>Translation!$A$24&amp;" 13"</f>
        <v>Abbildung 13</v>
      </c>
      <c r="B97" s="189">
        <f>'9'!B$116</f>
        <v>38</v>
      </c>
      <c r="C97" s="193">
        <f>'9'!C$116</f>
        <v>325723</v>
      </c>
      <c r="D97" s="193">
        <f>'9'!D$116</f>
        <v>156184</v>
      </c>
      <c r="E97" s="190">
        <f>'9'!E$116</f>
        <v>134010.117</v>
      </c>
      <c r="F97" s="191">
        <f>'9'!F$116</f>
        <v>1</v>
      </c>
      <c r="G97" s="189">
        <f>'9'!G$116</f>
        <v>39</v>
      </c>
      <c r="H97" s="193">
        <f>'9'!H$116</f>
        <v>322040</v>
      </c>
      <c r="I97" s="193">
        <f>'9'!I$116</f>
        <v>150098</v>
      </c>
      <c r="J97" s="190">
        <f>'9'!J$116</f>
        <v>127277.379</v>
      </c>
      <c r="K97" s="191">
        <f>'9'!K$116</f>
        <v>1</v>
      </c>
      <c r="L97" s="189">
        <f>'9'!L$116</f>
        <v>38</v>
      </c>
      <c r="M97" s="193">
        <f>'9'!M$116</f>
        <v>308343</v>
      </c>
      <c r="N97" s="193">
        <f>'9'!N$116</f>
        <v>143834</v>
      </c>
      <c r="O97" s="190">
        <f>'9'!O$116</f>
        <v>119248.00899999999</v>
      </c>
      <c r="P97" s="191">
        <f>'9'!P$116</f>
        <v>1</v>
      </c>
      <c r="Q97" s="189">
        <f>'9'!Q$116</f>
        <v>43</v>
      </c>
      <c r="R97" s="193">
        <f>'9'!R$116</f>
        <v>339380</v>
      </c>
      <c r="S97" s="193">
        <f>'9'!S$116</f>
        <v>153912</v>
      </c>
      <c r="T97" s="190">
        <f>'9'!T$116</f>
        <v>125301.11600000001</v>
      </c>
      <c r="U97" s="191">
        <f>'9'!U$116</f>
        <v>0.99999999999999989</v>
      </c>
      <c r="V97" s="189">
        <f>'9'!V$116</f>
        <v>58</v>
      </c>
      <c r="W97" s="193">
        <f>'9'!W$116</f>
        <v>358116</v>
      </c>
      <c r="X97" s="193">
        <f>'9'!X$116</f>
        <v>159705</v>
      </c>
      <c r="Y97" s="190">
        <f>'9'!Y$116</f>
        <v>128796.19099999999</v>
      </c>
      <c r="Z97" s="191">
        <f>'9'!Z$116</f>
        <v>1</v>
      </c>
    </row>
    <row r="98" spans="1:26" x14ac:dyDescent="0.2">
      <c r="A98" s="192" t="str">
        <f>Translation!$A$24&amp;" 14"</f>
        <v>Abbildung 14</v>
      </c>
      <c r="B98" s="189">
        <f>'10'!B$116</f>
        <v>38</v>
      </c>
      <c r="C98" s="193">
        <f>'10'!C$116</f>
        <v>325723</v>
      </c>
      <c r="D98" s="193">
        <f>'10'!D$116</f>
        <v>156184</v>
      </c>
      <c r="E98" s="190">
        <f>'10'!E$116</f>
        <v>134010.117</v>
      </c>
      <c r="F98" s="191">
        <f>'10'!F$116</f>
        <v>1</v>
      </c>
      <c r="G98" s="189">
        <f>'10'!G$116</f>
        <v>39</v>
      </c>
      <c r="H98" s="193">
        <f>'10'!H$116</f>
        <v>322040</v>
      </c>
      <c r="I98" s="193">
        <f>'10'!I$116</f>
        <v>150098</v>
      </c>
      <c r="J98" s="190">
        <f>'10'!J$116</f>
        <v>127277.379</v>
      </c>
      <c r="K98" s="191">
        <f>'10'!K$116</f>
        <v>1</v>
      </c>
      <c r="L98" s="189">
        <f>'10'!L$116</f>
        <v>38</v>
      </c>
      <c r="M98" s="193">
        <f>'10'!M$116</f>
        <v>308343</v>
      </c>
      <c r="N98" s="193">
        <f>'10'!N$116</f>
        <v>143834</v>
      </c>
      <c r="O98" s="190">
        <f>'10'!O$116</f>
        <v>119248.00899999999</v>
      </c>
      <c r="P98" s="191">
        <f>'10'!P$116</f>
        <v>1</v>
      </c>
      <c r="Q98" s="189">
        <f>'10'!Q$116</f>
        <v>43</v>
      </c>
      <c r="R98" s="193">
        <f>'10'!R$116</f>
        <v>339380</v>
      </c>
      <c r="S98" s="193">
        <f>'10'!S$116</f>
        <v>153912</v>
      </c>
      <c r="T98" s="190">
        <f>'10'!T$116</f>
        <v>125301.11600000001</v>
      </c>
      <c r="U98" s="191">
        <f>'10'!U$116</f>
        <v>1</v>
      </c>
      <c r="V98" s="189">
        <f>'10'!V$116</f>
        <v>58</v>
      </c>
      <c r="W98" s="193">
        <f>'10'!W$116</f>
        <v>358116</v>
      </c>
      <c r="X98" s="193">
        <f>'10'!X$116</f>
        <v>159705</v>
      </c>
      <c r="Y98" s="190">
        <f>'10'!Y$116</f>
        <v>128796.19099999999</v>
      </c>
      <c r="Z98" s="191">
        <f>'10'!Z$116</f>
        <v>1</v>
      </c>
    </row>
    <row r="99" spans="1:26" x14ac:dyDescent="0.2">
      <c r="A99" s="192" t="str">
        <f>Translation!$A$24&amp;" 15"</f>
        <v>Abbildung 15</v>
      </c>
      <c r="B99" s="189">
        <f>'11'!B$116</f>
        <v>38</v>
      </c>
      <c r="C99" s="193">
        <f>'11'!C$116</f>
        <v>325723</v>
      </c>
      <c r="D99" s="193">
        <f>'11'!D$116</f>
        <v>156184</v>
      </c>
      <c r="E99" s="190">
        <f>'11'!E$116</f>
        <v>134010.117</v>
      </c>
      <c r="F99" s="191">
        <f>'11'!F$116</f>
        <v>0.99999999999999989</v>
      </c>
      <c r="G99" s="189">
        <f>'11'!G$116</f>
        <v>39</v>
      </c>
      <c r="H99" s="193">
        <f>'11'!H$116</f>
        <v>322040</v>
      </c>
      <c r="I99" s="193">
        <f>'11'!I$116</f>
        <v>150098</v>
      </c>
      <c r="J99" s="190">
        <f>'11'!J$116</f>
        <v>127277.37899999999</v>
      </c>
      <c r="K99" s="191">
        <f>'11'!K$116</f>
        <v>1</v>
      </c>
      <c r="L99" s="189">
        <f>'11'!L$116</f>
        <v>38</v>
      </c>
      <c r="M99" s="193">
        <f>'11'!M$116</f>
        <v>308343</v>
      </c>
      <c r="N99" s="193">
        <f>'11'!N$116</f>
        <v>143834</v>
      </c>
      <c r="O99" s="190">
        <f>'11'!O$116</f>
        <v>119248.00900000001</v>
      </c>
      <c r="P99" s="191">
        <f>'11'!P$116</f>
        <v>1</v>
      </c>
      <c r="Q99" s="189">
        <f>'11'!Q$116</f>
        <v>43</v>
      </c>
      <c r="R99" s="193">
        <f>'11'!R$116</f>
        <v>339380</v>
      </c>
      <c r="S99" s="193">
        <f>'11'!S$116</f>
        <v>153912</v>
      </c>
      <c r="T99" s="190">
        <f>'11'!T$116</f>
        <v>125301.11599999998</v>
      </c>
      <c r="U99" s="191">
        <f>'11'!U$116</f>
        <v>1.0000000000000002</v>
      </c>
      <c r="V99" s="189">
        <f>'11'!V$116</f>
        <v>58</v>
      </c>
      <c r="W99" s="193">
        <f>'11'!W$116</f>
        <v>358116</v>
      </c>
      <c r="X99" s="193">
        <f>'11'!X$116</f>
        <v>159705</v>
      </c>
      <c r="Y99" s="190">
        <f>'11'!Y$116</f>
        <v>128796.19100000001</v>
      </c>
      <c r="Z99" s="191">
        <f>'11'!Z$116</f>
        <v>0.99999999999999989</v>
      </c>
    </row>
    <row r="100" spans="1:26" x14ac:dyDescent="0.2">
      <c r="A100" s="192" t="str">
        <f>Translation!$A$24&amp;" 16"</f>
        <v>Abbildung 16</v>
      </c>
      <c r="B100" s="189">
        <f>'12'!B$116</f>
        <v>38</v>
      </c>
      <c r="C100" s="193">
        <f>'12'!C$116</f>
        <v>325723</v>
      </c>
      <c r="D100" s="193">
        <f>'12'!D$116</f>
        <v>156184</v>
      </c>
      <c r="E100" s="190">
        <f>'12'!E$116</f>
        <v>134010.117</v>
      </c>
      <c r="F100" s="191">
        <f>'12'!F$116</f>
        <v>1</v>
      </c>
      <c r="G100" s="189">
        <f>'12'!G$116</f>
        <v>39</v>
      </c>
      <c r="H100" s="193">
        <f>'12'!H$116</f>
        <v>322040</v>
      </c>
      <c r="I100" s="193">
        <f>'12'!I$116</f>
        <v>150098</v>
      </c>
      <c r="J100" s="190">
        <f>'12'!J$116</f>
        <v>127277.37900000002</v>
      </c>
      <c r="K100" s="191">
        <f>'12'!K$116</f>
        <v>0.99999999999999978</v>
      </c>
      <c r="L100" s="189">
        <f>'12'!L$116</f>
        <v>38</v>
      </c>
      <c r="M100" s="193">
        <f>'12'!M$116</f>
        <v>308343</v>
      </c>
      <c r="N100" s="193">
        <f>'12'!N$116</f>
        <v>143834</v>
      </c>
      <c r="O100" s="190">
        <f>'12'!O$116</f>
        <v>119248.00900000001</v>
      </c>
      <c r="P100" s="191">
        <f>'12'!P$116</f>
        <v>0.99999999999999989</v>
      </c>
      <c r="Q100" s="189">
        <f>'12'!Q$116</f>
        <v>43</v>
      </c>
      <c r="R100" s="193">
        <f>'12'!R$116</f>
        <v>339380</v>
      </c>
      <c r="S100" s="193">
        <f>'12'!S$116</f>
        <v>153912</v>
      </c>
      <c r="T100" s="190">
        <f>'12'!T$116</f>
        <v>125301.11600000001</v>
      </c>
      <c r="U100" s="191">
        <f>'12'!U$116</f>
        <v>0.99999999999999978</v>
      </c>
      <c r="V100" s="189">
        <f>'12'!V$116</f>
        <v>58</v>
      </c>
      <c r="W100" s="193">
        <f>'12'!W$116</f>
        <v>358116</v>
      </c>
      <c r="X100" s="193">
        <f>'12'!X$116</f>
        <v>159705</v>
      </c>
      <c r="Y100" s="190">
        <f>'12'!Y$116</f>
        <v>128796.19099999999</v>
      </c>
      <c r="Z100" s="191">
        <f>'12'!Z$116</f>
        <v>1.0000000000000002</v>
      </c>
    </row>
    <row r="101" spans="1:26" x14ac:dyDescent="0.2">
      <c r="A101" s="192" t="str">
        <f>Translation!$A$24&amp;" 17"</f>
        <v>Abbildung 17</v>
      </c>
      <c r="B101" s="189">
        <f>'13'!B$116</f>
        <v>38</v>
      </c>
      <c r="C101" s="193">
        <f>'13'!C$116</f>
        <v>325723</v>
      </c>
      <c r="D101" s="193">
        <f>'13'!D$116</f>
        <v>156184</v>
      </c>
      <c r="E101" s="190">
        <f>'13'!E$116</f>
        <v>134010.117</v>
      </c>
      <c r="F101" s="191">
        <f>'13'!F$116</f>
        <v>1.0000000000000002</v>
      </c>
      <c r="G101" s="189">
        <f>'13'!G$116</f>
        <v>39</v>
      </c>
      <c r="H101" s="193">
        <f>'13'!H$116</f>
        <v>322040</v>
      </c>
      <c r="I101" s="193">
        <f>'13'!I$116</f>
        <v>150098</v>
      </c>
      <c r="J101" s="190">
        <f>'13'!J$116</f>
        <v>127277.379</v>
      </c>
      <c r="K101" s="191">
        <f>'13'!K$116</f>
        <v>0.99999999999999989</v>
      </c>
      <c r="L101" s="189">
        <f>'13'!L$116</f>
        <v>38</v>
      </c>
      <c r="M101" s="193">
        <f>'13'!M$116</f>
        <v>308343</v>
      </c>
      <c r="N101" s="193">
        <f>'13'!N$116</f>
        <v>143834</v>
      </c>
      <c r="O101" s="190">
        <f>'13'!O$116</f>
        <v>119248.00900000001</v>
      </c>
      <c r="P101" s="191">
        <f>'13'!P$116</f>
        <v>1</v>
      </c>
      <c r="Q101" s="189">
        <f>'13'!Q$116</f>
        <v>43</v>
      </c>
      <c r="R101" s="193">
        <f>'13'!R$116</f>
        <v>339380</v>
      </c>
      <c r="S101" s="193">
        <f>'13'!S$116</f>
        <v>153912</v>
      </c>
      <c r="T101" s="190">
        <f>'13'!T$116</f>
        <v>125301.11600000001</v>
      </c>
      <c r="U101" s="191">
        <f>'13'!U$116</f>
        <v>1</v>
      </c>
      <c r="V101" s="189">
        <f>'13'!V$116</f>
        <v>58</v>
      </c>
      <c r="W101" s="193">
        <f>'13'!W$116</f>
        <v>358116</v>
      </c>
      <c r="X101" s="193">
        <f>'13'!X$116</f>
        <v>159705</v>
      </c>
      <c r="Y101" s="190">
        <f>'13'!Y$116</f>
        <v>128796.19100000001</v>
      </c>
      <c r="Z101" s="191">
        <f>'13'!Z$116</f>
        <v>1.0000000000000002</v>
      </c>
    </row>
    <row r="102" spans="1:26" x14ac:dyDescent="0.2">
      <c r="A102" s="192" t="str">
        <f>Translation!$A$24&amp;" 18"</f>
        <v>Abbildung 18</v>
      </c>
      <c r="B102" s="189">
        <f>'14'!B$116</f>
        <v>38</v>
      </c>
      <c r="C102" s="193">
        <f>'14'!C$116</f>
        <v>325723</v>
      </c>
      <c r="D102" s="193">
        <f>'14'!D$116</f>
        <v>156184</v>
      </c>
      <c r="E102" s="190">
        <f>'14'!E$116</f>
        <v>134010.117</v>
      </c>
      <c r="F102" s="191">
        <f>'14'!F$116</f>
        <v>1</v>
      </c>
      <c r="G102" s="189">
        <f>'14'!G$116</f>
        <v>39</v>
      </c>
      <c r="H102" s="193">
        <f>'14'!H$116</f>
        <v>322040</v>
      </c>
      <c r="I102" s="193">
        <f>'14'!I$116</f>
        <v>150098</v>
      </c>
      <c r="J102" s="190">
        <f>'14'!J$116</f>
        <v>127277.379</v>
      </c>
      <c r="K102" s="191">
        <f>'14'!K$116</f>
        <v>1</v>
      </c>
      <c r="L102" s="189">
        <f>'14'!L$116</f>
        <v>38</v>
      </c>
      <c r="M102" s="193">
        <f>'14'!M$116</f>
        <v>308343</v>
      </c>
      <c r="N102" s="193">
        <f>'14'!N$116</f>
        <v>143834</v>
      </c>
      <c r="O102" s="190">
        <f>'14'!O$116</f>
        <v>119248.00899999999</v>
      </c>
      <c r="P102" s="191">
        <f>'14'!P$116</f>
        <v>1</v>
      </c>
      <c r="Q102" s="189">
        <f>'14'!Q$116</f>
        <v>43</v>
      </c>
      <c r="R102" s="193">
        <f>'14'!R$116</f>
        <v>339380</v>
      </c>
      <c r="S102" s="193">
        <f>'14'!S$116</f>
        <v>153912</v>
      </c>
      <c r="T102" s="190">
        <f>'14'!T$116</f>
        <v>125301.11600000001</v>
      </c>
      <c r="U102" s="191">
        <f>'14'!U$116</f>
        <v>0.99999999999999989</v>
      </c>
      <c r="V102" s="189">
        <f>'14'!V$116</f>
        <v>58</v>
      </c>
      <c r="W102" s="193">
        <f>'14'!W$116</f>
        <v>358116</v>
      </c>
      <c r="X102" s="193">
        <f>'14'!X$116</f>
        <v>159705</v>
      </c>
      <c r="Y102" s="190">
        <f>'14'!Y$116</f>
        <v>128796.19099999999</v>
      </c>
      <c r="Z102" s="191">
        <f>'14'!Z$116</f>
        <v>1</v>
      </c>
    </row>
    <row r="103" spans="1:26" x14ac:dyDescent="0.2">
      <c r="A103" s="192" t="str">
        <f>Translation!$A$24&amp;" 19"</f>
        <v>Abbildung 19</v>
      </c>
      <c r="B103" s="189">
        <f>'15'!B$116</f>
        <v>38</v>
      </c>
      <c r="C103" s="193">
        <f>'15'!C$116</f>
        <v>325723</v>
      </c>
      <c r="D103" s="193">
        <f>'15'!D$116</f>
        <v>156184</v>
      </c>
      <c r="E103" s="190">
        <f>'15'!E$116</f>
        <v>134010.117</v>
      </c>
      <c r="F103" s="191">
        <f>'15'!F$116</f>
        <v>1</v>
      </c>
      <c r="G103" s="189">
        <f>'15'!G$116</f>
        <v>39</v>
      </c>
      <c r="H103" s="193">
        <f>'15'!H$116</f>
        <v>322040</v>
      </c>
      <c r="I103" s="193">
        <f>'15'!I$116</f>
        <v>150098</v>
      </c>
      <c r="J103" s="190">
        <f>'15'!J$116</f>
        <v>127277.37899999999</v>
      </c>
      <c r="K103" s="191">
        <f>'15'!K$116</f>
        <v>1</v>
      </c>
      <c r="L103" s="189">
        <f>'15'!L$116</f>
        <v>38</v>
      </c>
      <c r="M103" s="193">
        <f>'15'!M$116</f>
        <v>308343</v>
      </c>
      <c r="N103" s="193">
        <f>'15'!N$116</f>
        <v>143834</v>
      </c>
      <c r="O103" s="190">
        <f>'15'!O$116</f>
        <v>119248.00900000001</v>
      </c>
      <c r="P103" s="191">
        <f>'15'!P$116</f>
        <v>1</v>
      </c>
      <c r="Q103" s="189">
        <f>'15'!Q$116</f>
        <v>43</v>
      </c>
      <c r="R103" s="193">
        <f>'15'!R$116</f>
        <v>339380</v>
      </c>
      <c r="S103" s="193">
        <f>'15'!S$116</f>
        <v>153912</v>
      </c>
      <c r="T103" s="190">
        <f>'15'!T$116</f>
        <v>125301.11600000001</v>
      </c>
      <c r="U103" s="191">
        <f>'15'!U$116</f>
        <v>1</v>
      </c>
      <c r="V103" s="189">
        <f>'15'!V$116</f>
        <v>58</v>
      </c>
      <c r="W103" s="193">
        <f>'15'!W$116</f>
        <v>358116</v>
      </c>
      <c r="X103" s="193">
        <f>'15'!X$116</f>
        <v>159705</v>
      </c>
      <c r="Y103" s="190">
        <f>'15'!Y$116</f>
        <v>128796.19099999999</v>
      </c>
      <c r="Z103" s="191">
        <f>'15'!Z$116</f>
        <v>1</v>
      </c>
    </row>
    <row r="104" spans="1:26" x14ac:dyDescent="0.2">
      <c r="A104" s="192" t="str">
        <f>Translation!$A$24&amp;" 20"</f>
        <v>Abbildung 20</v>
      </c>
      <c r="B104" s="189">
        <f>'16'!B$116</f>
        <v>38</v>
      </c>
      <c r="C104" s="193">
        <f>'16'!C$116</f>
        <v>325723</v>
      </c>
      <c r="D104" s="193">
        <f>'16'!D$116</f>
        <v>156184</v>
      </c>
      <c r="E104" s="190">
        <f>'16'!E$116</f>
        <v>134010.117</v>
      </c>
      <c r="F104" s="191">
        <f>'16'!F$116</f>
        <v>1</v>
      </c>
      <c r="G104" s="189">
        <f>'16'!G$116</f>
        <v>39</v>
      </c>
      <c r="H104" s="193">
        <f>'16'!H$116</f>
        <v>322040</v>
      </c>
      <c r="I104" s="193">
        <f>'16'!I$116</f>
        <v>150098</v>
      </c>
      <c r="J104" s="190">
        <f>'16'!J$116</f>
        <v>127277.379</v>
      </c>
      <c r="K104" s="191">
        <f>'16'!K$116</f>
        <v>1</v>
      </c>
      <c r="L104" s="189">
        <f>'16'!L$116</f>
        <v>38</v>
      </c>
      <c r="M104" s="193">
        <f>'16'!M$116</f>
        <v>308343</v>
      </c>
      <c r="N104" s="193">
        <f>'16'!N$116</f>
        <v>143834</v>
      </c>
      <c r="O104" s="190">
        <f>'16'!O$116</f>
        <v>119248.00900000001</v>
      </c>
      <c r="P104" s="191">
        <f>'16'!P$116</f>
        <v>1</v>
      </c>
      <c r="Q104" s="189">
        <f>'16'!Q$116</f>
        <v>43</v>
      </c>
      <c r="R104" s="193">
        <f>'16'!R$116</f>
        <v>339380</v>
      </c>
      <c r="S104" s="193">
        <f>'16'!S$116</f>
        <v>153912</v>
      </c>
      <c r="T104" s="190">
        <f>'16'!T$116</f>
        <v>125301.11599999999</v>
      </c>
      <c r="U104" s="191">
        <f>'16'!U$116</f>
        <v>1</v>
      </c>
      <c r="V104" s="189">
        <f>'16'!V$116</f>
        <v>58</v>
      </c>
      <c r="W104" s="193">
        <f>'16'!W$116</f>
        <v>358116</v>
      </c>
      <c r="X104" s="193">
        <f>'16'!X$116</f>
        <v>159705</v>
      </c>
      <c r="Y104" s="190">
        <f>'16'!Y$116</f>
        <v>128796.19100000001</v>
      </c>
      <c r="Z104" s="191">
        <f>'16'!Z$116</f>
        <v>1</v>
      </c>
    </row>
    <row r="105" spans="1:26" x14ac:dyDescent="0.2">
      <c r="A105" s="192" t="str">
        <f>Translation!$A$24&amp;" 21"</f>
        <v>Abbildung 21</v>
      </c>
      <c r="B105" s="189">
        <f>'17'!B$116</f>
        <v>38</v>
      </c>
      <c r="C105" s="193">
        <f>'17'!C$116</f>
        <v>325723</v>
      </c>
      <c r="D105" s="193">
        <f>'17'!D$116</f>
        <v>156184</v>
      </c>
      <c r="E105" s="190">
        <f>'17'!E$116</f>
        <v>134010.117</v>
      </c>
      <c r="F105" s="191">
        <f>'17'!F$116</f>
        <v>1.0000000000000002</v>
      </c>
      <c r="G105" s="189">
        <f>'17'!G$116</f>
        <v>39</v>
      </c>
      <c r="H105" s="193">
        <f>'17'!H$116</f>
        <v>322040</v>
      </c>
      <c r="I105" s="193">
        <f>'17'!I$116</f>
        <v>150098</v>
      </c>
      <c r="J105" s="190">
        <f>'17'!J$116</f>
        <v>127277.37899999999</v>
      </c>
      <c r="K105" s="191">
        <f>'17'!K$116</f>
        <v>1.0000000000000002</v>
      </c>
      <c r="L105" s="189">
        <f>'17'!L$116</f>
        <v>38</v>
      </c>
      <c r="M105" s="193">
        <f>'17'!M$116</f>
        <v>308343</v>
      </c>
      <c r="N105" s="193">
        <f>'17'!N$116</f>
        <v>143834</v>
      </c>
      <c r="O105" s="190">
        <f>'17'!O$116</f>
        <v>119248.00900000001</v>
      </c>
      <c r="P105" s="191">
        <f>'17'!P$116</f>
        <v>1</v>
      </c>
      <c r="Q105" s="189">
        <f>'17'!Q$116</f>
        <v>43</v>
      </c>
      <c r="R105" s="193">
        <f>'17'!R$116</f>
        <v>339380</v>
      </c>
      <c r="S105" s="193">
        <f>'17'!S$116</f>
        <v>153912</v>
      </c>
      <c r="T105" s="190">
        <f>'17'!T$116</f>
        <v>125301.11600000001</v>
      </c>
      <c r="U105" s="191">
        <f>'17'!U$116</f>
        <v>1</v>
      </c>
      <c r="V105" s="189">
        <f>'17'!V$116</f>
        <v>0</v>
      </c>
      <c r="W105" s="193">
        <f>'17'!W$116</f>
        <v>0</v>
      </c>
      <c r="X105" s="193">
        <f>'17'!X$116</f>
        <v>0</v>
      </c>
      <c r="Y105" s="190">
        <f>'17'!Y$116</f>
        <v>0</v>
      </c>
      <c r="Z105" s="191">
        <f>'17'!Z$116</f>
        <v>0</v>
      </c>
    </row>
    <row r="106" spans="1:26" x14ac:dyDescent="0.2">
      <c r="A106" s="192" t="str">
        <f>Translation!$A$24&amp;" 22"</f>
        <v>Abbildung 22</v>
      </c>
      <c r="B106" s="189">
        <f>'17'!B$116</f>
        <v>38</v>
      </c>
      <c r="C106" s="193">
        <f>'17'!C$116</f>
        <v>325723</v>
      </c>
      <c r="D106" s="193">
        <f>'17'!D$116</f>
        <v>156184</v>
      </c>
      <c r="E106" s="190">
        <f>'17'!E$116</f>
        <v>134010.117</v>
      </c>
      <c r="F106" s="191">
        <f>'17'!F$116</f>
        <v>1.0000000000000002</v>
      </c>
      <c r="G106" s="189">
        <f>'17'!G$116</f>
        <v>39</v>
      </c>
      <c r="H106" s="193">
        <f>'17'!H$116</f>
        <v>322040</v>
      </c>
      <c r="I106" s="193">
        <f>'17'!I$116</f>
        <v>150098</v>
      </c>
      <c r="J106" s="190">
        <f>'17'!J$116</f>
        <v>127277.37899999999</v>
      </c>
      <c r="K106" s="191">
        <f>'17'!K$116</f>
        <v>1.0000000000000002</v>
      </c>
      <c r="L106" s="189">
        <f>'17'!L$116</f>
        <v>38</v>
      </c>
      <c r="M106" s="193">
        <f>'17'!M$116</f>
        <v>308343</v>
      </c>
      <c r="N106" s="193">
        <f>'17'!N$116</f>
        <v>143834</v>
      </c>
      <c r="O106" s="190">
        <f>'17'!O$116</f>
        <v>119248.00900000001</v>
      </c>
      <c r="P106" s="191">
        <f>'17'!P$116</f>
        <v>1</v>
      </c>
      <c r="Q106" s="189">
        <f>'17'!Q$116</f>
        <v>43</v>
      </c>
      <c r="R106" s="193">
        <f>'17'!R$116</f>
        <v>339380</v>
      </c>
      <c r="S106" s="193">
        <f>'17'!S$116</f>
        <v>153912</v>
      </c>
      <c r="T106" s="190">
        <f>'17'!T$116</f>
        <v>125301.11600000001</v>
      </c>
      <c r="U106" s="191">
        <f>'17'!U$116</f>
        <v>1</v>
      </c>
      <c r="V106" s="189">
        <f>'17'!V$116</f>
        <v>0</v>
      </c>
      <c r="W106" s="193">
        <f>'17'!W$116</f>
        <v>0</v>
      </c>
      <c r="X106" s="193">
        <f>'17'!X$116</f>
        <v>0</v>
      </c>
      <c r="Y106" s="190">
        <f>'17'!Y$116</f>
        <v>0</v>
      </c>
      <c r="Z106" s="191">
        <f>'17'!Z$116</f>
        <v>0</v>
      </c>
    </row>
    <row r="107" spans="1:26" x14ac:dyDescent="0.2">
      <c r="A107" s="192" t="str">
        <f>Translation!$A$24&amp;" 23"</f>
        <v>Abbildung 23</v>
      </c>
      <c r="B107" s="189">
        <f>'17'!B$116</f>
        <v>38</v>
      </c>
      <c r="C107" s="193">
        <f>'17'!C$116</f>
        <v>325723</v>
      </c>
      <c r="D107" s="193">
        <f>'17'!D$116</f>
        <v>156184</v>
      </c>
      <c r="E107" s="190">
        <f>'17'!E$116</f>
        <v>134010.117</v>
      </c>
      <c r="F107" s="191">
        <f>'17'!F$116</f>
        <v>1.0000000000000002</v>
      </c>
      <c r="G107" s="189">
        <f>'17'!G$116</f>
        <v>39</v>
      </c>
      <c r="H107" s="193">
        <f>'17'!H$116</f>
        <v>322040</v>
      </c>
      <c r="I107" s="193">
        <f>'17'!I$116</f>
        <v>150098</v>
      </c>
      <c r="J107" s="190">
        <f>'17'!J$116</f>
        <v>127277.37899999999</v>
      </c>
      <c r="K107" s="191">
        <f>'17'!K$116</f>
        <v>1.0000000000000002</v>
      </c>
      <c r="L107" s="189">
        <f>'17'!L$116</f>
        <v>38</v>
      </c>
      <c r="M107" s="193">
        <f>'17'!M$116</f>
        <v>308343</v>
      </c>
      <c r="N107" s="193">
        <f>'17'!N$116</f>
        <v>143834</v>
      </c>
      <c r="O107" s="190">
        <f>'17'!O$116</f>
        <v>119248.00900000001</v>
      </c>
      <c r="P107" s="191">
        <f>'17'!P$116</f>
        <v>1</v>
      </c>
      <c r="Q107" s="189">
        <f>'17'!Q$116</f>
        <v>43</v>
      </c>
      <c r="R107" s="193">
        <f>'17'!R$116</f>
        <v>339380</v>
      </c>
      <c r="S107" s="193">
        <f>'17'!S$116</f>
        <v>153912</v>
      </c>
      <c r="T107" s="190">
        <f>'17'!T$116</f>
        <v>125301.11600000001</v>
      </c>
      <c r="U107" s="191">
        <f>'17'!U$116</f>
        <v>1</v>
      </c>
      <c r="V107" s="189">
        <f>'17'!V$116</f>
        <v>0</v>
      </c>
      <c r="W107" s="193">
        <f>'17'!W$116</f>
        <v>0</v>
      </c>
      <c r="X107" s="193">
        <f>'17'!X$116</f>
        <v>0</v>
      </c>
      <c r="Y107" s="190">
        <f>'17'!Y$116</f>
        <v>0</v>
      </c>
      <c r="Z107" s="191">
        <f>'17'!Z$116</f>
        <v>0</v>
      </c>
    </row>
    <row r="108" spans="1:26" x14ac:dyDescent="0.2">
      <c r="A108" s="192" t="str">
        <f>Translation!$A$24&amp;" 24"</f>
        <v>Abbildung 24</v>
      </c>
      <c r="B108" s="189">
        <f>'19'!B$116</f>
        <v>38</v>
      </c>
      <c r="C108" s="193">
        <f>'19'!C$116</f>
        <v>325723</v>
      </c>
      <c r="D108" s="193">
        <f>'19'!D$116</f>
        <v>156184</v>
      </c>
      <c r="E108" s="190">
        <f>'19'!E$116</f>
        <v>134010.117</v>
      </c>
      <c r="F108" s="191">
        <f>'19'!F$116</f>
        <v>1</v>
      </c>
      <c r="G108" s="189">
        <f>'19'!G$116</f>
        <v>39</v>
      </c>
      <c r="H108" s="193">
        <f>'19'!H$116</f>
        <v>322040</v>
      </c>
      <c r="I108" s="193">
        <f>'19'!I$116</f>
        <v>150098</v>
      </c>
      <c r="J108" s="190">
        <f>'19'!J$116</f>
        <v>127277.37900000002</v>
      </c>
      <c r="K108" s="191">
        <f>'19'!K$116</f>
        <v>1</v>
      </c>
      <c r="L108" s="189">
        <f>'19'!L$116</f>
        <v>38</v>
      </c>
      <c r="M108" s="193">
        <f>'19'!M$116</f>
        <v>308343</v>
      </c>
      <c r="N108" s="193">
        <f>'19'!N$116</f>
        <v>143834</v>
      </c>
      <c r="O108" s="190">
        <f>'19'!O$116</f>
        <v>119248.00899999999</v>
      </c>
      <c r="P108" s="191">
        <f>'19'!P$116</f>
        <v>1</v>
      </c>
      <c r="Q108" s="189">
        <f>'19'!Q$116</f>
        <v>43</v>
      </c>
      <c r="R108" s="193">
        <f>'19'!R$116</f>
        <v>339380</v>
      </c>
      <c r="S108" s="193">
        <f>'19'!S$116</f>
        <v>153912</v>
      </c>
      <c r="T108" s="190">
        <f>'19'!T$116</f>
        <v>125301.11600000001</v>
      </c>
      <c r="U108" s="191">
        <f>'19'!U$116</f>
        <v>1</v>
      </c>
      <c r="V108" s="189">
        <f>'19'!V$116</f>
        <v>58</v>
      </c>
      <c r="W108" s="193">
        <f>'19'!W$116</f>
        <v>358116</v>
      </c>
      <c r="X108" s="193">
        <f>'19'!X$116</f>
        <v>159705</v>
      </c>
      <c r="Y108" s="190">
        <f>'19'!Y$116</f>
        <v>128796.19099999999</v>
      </c>
      <c r="Z108" s="191">
        <f>'19'!Z$116</f>
        <v>1</v>
      </c>
    </row>
    <row r="109" spans="1:26" x14ac:dyDescent="0.2">
      <c r="A109" s="192" t="str">
        <f>Translation!$A$24&amp;" 25"</f>
        <v>Abbildung 25</v>
      </c>
      <c r="B109" s="189">
        <f>'20'!B$116</f>
        <v>0</v>
      </c>
      <c r="C109" s="193">
        <f>'20'!C$116</f>
        <v>0</v>
      </c>
      <c r="D109" s="193">
        <f>'20'!D$116</f>
        <v>0</v>
      </c>
      <c r="E109" s="190">
        <f>'20'!E$116</f>
        <v>0</v>
      </c>
      <c r="F109" s="191">
        <f>'20'!F$116</f>
        <v>1</v>
      </c>
      <c r="G109" s="189">
        <f>'20'!G$116</f>
        <v>0</v>
      </c>
      <c r="H109" s="193">
        <f>'20'!H$116</f>
        <v>0</v>
      </c>
      <c r="I109" s="193">
        <f>'20'!I$116</f>
        <v>0</v>
      </c>
      <c r="J109" s="190">
        <f>'20'!J$116</f>
        <v>0</v>
      </c>
      <c r="K109" s="191">
        <f>'20'!K$116</f>
        <v>0.99999999999999989</v>
      </c>
      <c r="L109" s="189">
        <f>'20'!L$116</f>
        <v>0</v>
      </c>
      <c r="M109" s="193">
        <f>'20'!M$116</f>
        <v>0</v>
      </c>
      <c r="N109" s="193">
        <f>'20'!N$116</f>
        <v>0</v>
      </c>
      <c r="O109" s="190">
        <f>'20'!O$116</f>
        <v>0</v>
      </c>
      <c r="P109" s="191">
        <f>'20'!P$116</f>
        <v>0.99999999999999978</v>
      </c>
      <c r="Q109" s="189">
        <f>'20'!Q$116</f>
        <v>0</v>
      </c>
      <c r="R109" s="193">
        <f>'20'!R$116</f>
        <v>0</v>
      </c>
      <c r="S109" s="193">
        <f>'20'!S$116</f>
        <v>0</v>
      </c>
      <c r="T109" s="190">
        <f>'20'!T$116</f>
        <v>0</v>
      </c>
      <c r="U109" s="191">
        <f>'20'!U$116</f>
        <v>0.99999999999699984</v>
      </c>
      <c r="V109" s="189">
        <f>'20'!V$116</f>
        <v>0</v>
      </c>
      <c r="W109" s="193">
        <f>'20'!W$116</f>
        <v>0</v>
      </c>
      <c r="X109" s="193">
        <f>'20'!X$116</f>
        <v>0</v>
      </c>
      <c r="Y109" s="190">
        <f>'20'!Y$116</f>
        <v>0</v>
      </c>
      <c r="Z109" s="191">
        <f>'20'!Z$116</f>
        <v>1.0000100000000001</v>
      </c>
    </row>
    <row r="110" spans="1:26" x14ac:dyDescent="0.2">
      <c r="A110" s="192" t="str">
        <f>Translation!$A$24&amp;" 26"</f>
        <v>Abbildung 26</v>
      </c>
      <c r="B110" s="189">
        <f>'21'!B$116</f>
        <v>38</v>
      </c>
      <c r="C110" s="193">
        <f>'21'!C$116</f>
        <v>325723</v>
      </c>
      <c r="D110" s="193">
        <f>'21'!D$116</f>
        <v>156184</v>
      </c>
      <c r="E110" s="190">
        <f>'21'!E$116</f>
        <v>134010.117</v>
      </c>
      <c r="F110" s="191">
        <f>'21'!F$116</f>
        <v>1</v>
      </c>
      <c r="G110" s="189">
        <f>'21'!G$116</f>
        <v>39</v>
      </c>
      <c r="H110" s="193">
        <f>'21'!H$116</f>
        <v>322040</v>
      </c>
      <c r="I110" s="193">
        <f>'21'!I$116</f>
        <v>150098</v>
      </c>
      <c r="J110" s="190">
        <f>'21'!J$116</f>
        <v>127277.379</v>
      </c>
      <c r="K110" s="191">
        <f>'21'!K$116</f>
        <v>1</v>
      </c>
      <c r="L110" s="189">
        <f>'21'!L$116</f>
        <v>38</v>
      </c>
      <c r="M110" s="193">
        <f>'21'!M$116</f>
        <v>308343</v>
      </c>
      <c r="N110" s="193">
        <f>'21'!N$116</f>
        <v>143834</v>
      </c>
      <c r="O110" s="190">
        <f>'21'!O$116</f>
        <v>119248.00899999999</v>
      </c>
      <c r="P110" s="191">
        <f>'21'!P$116</f>
        <v>1</v>
      </c>
      <c r="Q110" s="189">
        <f>'21'!Q$116</f>
        <v>43</v>
      </c>
      <c r="R110" s="193">
        <f>'21'!R$116</f>
        <v>339380</v>
      </c>
      <c r="S110" s="193">
        <f>'21'!S$116</f>
        <v>153912</v>
      </c>
      <c r="T110" s="190">
        <f>'21'!T$116</f>
        <v>125301.11600000001</v>
      </c>
      <c r="U110" s="191">
        <f>'21'!U$116</f>
        <v>1</v>
      </c>
      <c r="V110" s="189">
        <f>'21'!V$116</f>
        <v>58</v>
      </c>
      <c r="W110" s="193">
        <f>'21'!W$116</f>
        <v>358116</v>
      </c>
      <c r="X110" s="193">
        <f>'21'!X$116</f>
        <v>159705</v>
      </c>
      <c r="Y110" s="190">
        <f>'21'!Y$116</f>
        <v>128796.19100000001</v>
      </c>
      <c r="Z110" s="191">
        <f>'21'!Z$116</f>
        <v>0.99999999999999989</v>
      </c>
    </row>
    <row r="111" spans="1:26" x14ac:dyDescent="0.2">
      <c r="A111" s="192" t="str">
        <f>Translation!$A$24&amp;" 28"</f>
        <v>Abbildung 28</v>
      </c>
      <c r="B111" s="189">
        <f>'23'!B$116</f>
        <v>38</v>
      </c>
      <c r="C111" s="193">
        <f>'23'!C$116</f>
        <v>325723</v>
      </c>
      <c r="D111" s="193">
        <f>'23'!D$116</f>
        <v>156184</v>
      </c>
      <c r="E111" s="190">
        <f>'23'!E$116</f>
        <v>134010.117</v>
      </c>
      <c r="F111" s="191">
        <f>'23'!F$116</f>
        <v>1</v>
      </c>
      <c r="G111" s="189">
        <f>'23'!G$116</f>
        <v>39</v>
      </c>
      <c r="H111" s="193">
        <f>'23'!H$116</f>
        <v>322040</v>
      </c>
      <c r="I111" s="193">
        <f>'23'!I$116</f>
        <v>150098</v>
      </c>
      <c r="J111" s="190">
        <f>'23'!J$116</f>
        <v>127277.37900000002</v>
      </c>
      <c r="K111" s="191">
        <f>'23'!K$116</f>
        <v>0.99999999999999978</v>
      </c>
      <c r="L111" s="189">
        <f>'23'!L$116</f>
        <v>38</v>
      </c>
      <c r="M111" s="193">
        <f>'23'!M$116</f>
        <v>308343</v>
      </c>
      <c r="N111" s="193">
        <f>'23'!N$116</f>
        <v>143834</v>
      </c>
      <c r="O111" s="190">
        <f>'23'!O$116</f>
        <v>119248.00900000001</v>
      </c>
      <c r="P111" s="191">
        <f>'23'!P$116</f>
        <v>1</v>
      </c>
      <c r="Q111" s="189">
        <f>'23'!Q$116</f>
        <v>43</v>
      </c>
      <c r="R111" s="193">
        <f>'23'!R$116</f>
        <v>339380</v>
      </c>
      <c r="S111" s="193">
        <f>'23'!S$116</f>
        <v>153912</v>
      </c>
      <c r="T111" s="190">
        <f>'23'!T$116</f>
        <v>125301.11599999999</v>
      </c>
      <c r="U111" s="191">
        <f>'23'!U$116</f>
        <v>1</v>
      </c>
      <c r="V111" s="189">
        <f>'23'!V$116</f>
        <v>58</v>
      </c>
      <c r="W111" s="193">
        <f>'23'!W$116</f>
        <v>358116</v>
      </c>
      <c r="X111" s="193">
        <f>'23'!X$116</f>
        <v>159705</v>
      </c>
      <c r="Y111" s="190">
        <f>'23'!Y$116</f>
        <v>128796.19099999999</v>
      </c>
      <c r="Z111" s="191">
        <f>'23'!Z$116</f>
        <v>1</v>
      </c>
    </row>
    <row r="112" spans="1:26" x14ac:dyDescent="0.2">
      <c r="A112" s="192" t="str">
        <f>Translation!$A$24&amp;" 29"</f>
        <v>Abbildung 29</v>
      </c>
      <c r="B112" s="189">
        <f>'24'!B$116</f>
        <v>38</v>
      </c>
      <c r="C112" s="193">
        <f>'24'!C$116</f>
        <v>325723</v>
      </c>
      <c r="D112" s="193">
        <f>'24'!D$116</f>
        <v>156184</v>
      </c>
      <c r="E112" s="190">
        <f>'24'!E$116</f>
        <v>134010.117</v>
      </c>
      <c r="F112" s="191">
        <f>'24'!F$116</f>
        <v>1</v>
      </c>
      <c r="G112" s="189">
        <f>'24'!G$116</f>
        <v>39</v>
      </c>
      <c r="H112" s="193">
        <f>'24'!H$116</f>
        <v>322040</v>
      </c>
      <c r="I112" s="193">
        <f>'24'!I$116</f>
        <v>150098</v>
      </c>
      <c r="J112" s="190">
        <f>'24'!J$116</f>
        <v>127277.379</v>
      </c>
      <c r="K112" s="191">
        <f>'24'!K$116</f>
        <v>1</v>
      </c>
      <c r="L112" s="189">
        <f>'24'!L$116</f>
        <v>38</v>
      </c>
      <c r="M112" s="193">
        <f>'24'!M$116</f>
        <v>308343</v>
      </c>
      <c r="N112" s="193">
        <f>'24'!N$116</f>
        <v>143834</v>
      </c>
      <c r="O112" s="190">
        <f>'24'!O$116</f>
        <v>119248.00900000001</v>
      </c>
      <c r="P112" s="191">
        <f>'24'!P$116</f>
        <v>1</v>
      </c>
      <c r="Q112" s="189">
        <f>'24'!Q$116</f>
        <v>43</v>
      </c>
      <c r="R112" s="193">
        <f>'24'!R$116</f>
        <v>339380</v>
      </c>
      <c r="S112" s="193">
        <f>'24'!S$116</f>
        <v>153912</v>
      </c>
      <c r="T112" s="190">
        <f>'24'!T$116</f>
        <v>125301.11599999999</v>
      </c>
      <c r="U112" s="191">
        <f>'24'!U$116</f>
        <v>1</v>
      </c>
      <c r="V112" s="189">
        <f>'24'!V$116</f>
        <v>0</v>
      </c>
      <c r="W112" s="193">
        <f>'24'!W$116</f>
        <v>0</v>
      </c>
      <c r="X112" s="193">
        <f>'24'!X$116</f>
        <v>0</v>
      </c>
      <c r="Y112" s="190">
        <f>'24'!Y$116</f>
        <v>0</v>
      </c>
      <c r="Z112" s="191">
        <f>'24'!Z$116</f>
        <v>0</v>
      </c>
    </row>
    <row r="113" spans="1:26" x14ac:dyDescent="0.2">
      <c r="A113" s="192" t="str">
        <f>Translation!$A$24&amp;" 30"</f>
        <v>Abbildung 30</v>
      </c>
      <c r="B113" s="189">
        <f>'25'!B$116</f>
        <v>38</v>
      </c>
      <c r="C113" s="193">
        <f>'25'!C$116</f>
        <v>325723</v>
      </c>
      <c r="D113" s="193">
        <f>'25'!D$116</f>
        <v>156184</v>
      </c>
      <c r="E113" s="190">
        <f>'25'!E$116</f>
        <v>134010.117</v>
      </c>
      <c r="F113" s="191">
        <f>'25'!F$116</f>
        <v>1</v>
      </c>
      <c r="G113" s="189">
        <f>'25'!G$116</f>
        <v>39</v>
      </c>
      <c r="H113" s="193">
        <f>'25'!H$116</f>
        <v>322040</v>
      </c>
      <c r="I113" s="193">
        <f>'25'!I$116</f>
        <v>150098</v>
      </c>
      <c r="J113" s="190">
        <f>'25'!J$116</f>
        <v>127277.37900000002</v>
      </c>
      <c r="K113" s="191">
        <f>'25'!K$116</f>
        <v>1</v>
      </c>
      <c r="L113" s="189">
        <f>'25'!L$116</f>
        <v>38</v>
      </c>
      <c r="M113" s="193">
        <f>'25'!M$116</f>
        <v>308343</v>
      </c>
      <c r="N113" s="193">
        <f>'25'!N$116</f>
        <v>143834</v>
      </c>
      <c r="O113" s="190">
        <f>'25'!O$116</f>
        <v>119248.00900000001</v>
      </c>
      <c r="P113" s="191">
        <f>'25'!P$116</f>
        <v>0.99999999999999989</v>
      </c>
      <c r="Q113" s="189">
        <f>'25'!Q$116</f>
        <v>43</v>
      </c>
      <c r="R113" s="193">
        <f>'25'!R$116</f>
        <v>339380</v>
      </c>
      <c r="S113" s="193">
        <f>'25'!S$116</f>
        <v>153912</v>
      </c>
      <c r="T113" s="190">
        <f>'25'!T$116</f>
        <v>125301.11600000001</v>
      </c>
      <c r="U113" s="191">
        <f>'25'!U$116</f>
        <v>0.99999999999999989</v>
      </c>
      <c r="V113" s="189">
        <f>'25'!V$116</f>
        <v>58</v>
      </c>
      <c r="W113" s="193">
        <f>'25'!W$116</f>
        <v>358116</v>
      </c>
      <c r="X113" s="193">
        <f>'25'!X$116</f>
        <v>159705</v>
      </c>
      <c r="Y113" s="190">
        <f>'25'!Y$116</f>
        <v>128796.19099999999</v>
      </c>
      <c r="Z113" s="191">
        <f>'25'!Z$116</f>
        <v>1</v>
      </c>
    </row>
    <row r="114" spans="1:26" x14ac:dyDescent="0.2">
      <c r="A114" s="192" t="str">
        <f>Translation!$A$24&amp;" 31"</f>
        <v>Abbildung 31</v>
      </c>
      <c r="B114" s="189">
        <f>'28'!B$116</f>
        <v>38</v>
      </c>
      <c r="C114" s="193">
        <f>'28'!C$116</f>
        <v>325723</v>
      </c>
      <c r="D114" s="193">
        <f>'28'!D$116</f>
        <v>156184</v>
      </c>
      <c r="E114" s="190">
        <f>'28'!E$116</f>
        <v>134010.117</v>
      </c>
      <c r="F114" s="191">
        <f>'28'!F$116</f>
        <v>1</v>
      </c>
      <c r="G114" s="189">
        <f>'28'!G$116</f>
        <v>39</v>
      </c>
      <c r="H114" s="193">
        <f>'28'!H$116</f>
        <v>322040</v>
      </c>
      <c r="I114" s="193">
        <f>'28'!I$116</f>
        <v>150098</v>
      </c>
      <c r="J114" s="190">
        <f>'28'!J$116</f>
        <v>127277.37899999999</v>
      </c>
      <c r="K114" s="191">
        <f>'28'!K$116</f>
        <v>1.0000000000000002</v>
      </c>
      <c r="L114" s="189">
        <f>'28'!L$116</f>
        <v>38</v>
      </c>
      <c r="M114" s="193">
        <f>'28'!M$116</f>
        <v>308343</v>
      </c>
      <c r="N114" s="193">
        <f>'28'!N$116</f>
        <v>143834</v>
      </c>
      <c r="O114" s="190">
        <f>'28'!O$116</f>
        <v>119248.00900000001</v>
      </c>
      <c r="P114" s="191">
        <f>'28'!P$116</f>
        <v>1</v>
      </c>
      <c r="Q114" s="189">
        <f>'28'!Q$116</f>
        <v>43</v>
      </c>
      <c r="R114" s="193">
        <f>'28'!R$116</f>
        <v>339380</v>
      </c>
      <c r="S114" s="193">
        <f>'28'!S$116</f>
        <v>153912</v>
      </c>
      <c r="T114" s="190">
        <f>'28'!T$116</f>
        <v>125301.11599999998</v>
      </c>
      <c r="U114" s="191">
        <f>'28'!U$116</f>
        <v>1</v>
      </c>
      <c r="V114" s="189">
        <f>'28'!V$116</f>
        <v>58</v>
      </c>
      <c r="W114" s="193">
        <f>'28'!W$116</f>
        <v>358116</v>
      </c>
      <c r="X114" s="193">
        <f>'28'!X$116</f>
        <v>159705</v>
      </c>
      <c r="Y114" s="190">
        <f>'28'!Y$116</f>
        <v>128796.19100000001</v>
      </c>
      <c r="Z114" s="191">
        <f>'28'!Z$116</f>
        <v>1</v>
      </c>
    </row>
    <row r="115" spans="1:26" x14ac:dyDescent="0.2">
      <c r="A115" s="192" t="str">
        <f>Translation!$A$24&amp;" 32"</f>
        <v>Abbildung 32</v>
      </c>
      <c r="B115" s="189">
        <f>'29'!B$116</f>
        <v>38</v>
      </c>
      <c r="C115" s="193">
        <f>'29'!C$116</f>
        <v>325723</v>
      </c>
      <c r="D115" s="193">
        <f>'29'!D$116</f>
        <v>156184</v>
      </c>
      <c r="E115" s="190">
        <f>'29'!E$116</f>
        <v>134010.117</v>
      </c>
      <c r="F115" s="191">
        <f>'29'!F$116</f>
        <v>1</v>
      </c>
      <c r="G115" s="189">
        <f>'29'!G$116</f>
        <v>39</v>
      </c>
      <c r="H115" s="193">
        <f>'29'!H$116</f>
        <v>322040</v>
      </c>
      <c r="I115" s="193">
        <f>'29'!I$116</f>
        <v>150098</v>
      </c>
      <c r="J115" s="190">
        <f>'29'!J$116</f>
        <v>127277.379</v>
      </c>
      <c r="K115" s="191">
        <f>'29'!K$116</f>
        <v>1</v>
      </c>
      <c r="L115" s="189">
        <f>'29'!L$116</f>
        <v>38</v>
      </c>
      <c r="M115" s="193">
        <f>'29'!M$116</f>
        <v>308343</v>
      </c>
      <c r="N115" s="193">
        <f>'29'!N$116</f>
        <v>143834</v>
      </c>
      <c r="O115" s="190">
        <f>'29'!O$116</f>
        <v>119248.00900000001</v>
      </c>
      <c r="P115" s="191">
        <f>'29'!P$116</f>
        <v>1</v>
      </c>
      <c r="Q115" s="189">
        <f>'29'!Q$116</f>
        <v>43</v>
      </c>
      <c r="R115" s="193">
        <f>'29'!R$116</f>
        <v>339380</v>
      </c>
      <c r="S115" s="193">
        <f>'29'!S$116</f>
        <v>153912</v>
      </c>
      <c r="T115" s="190">
        <f>'29'!T$116</f>
        <v>125301.11599999999</v>
      </c>
      <c r="U115" s="191">
        <f>'29'!U$116</f>
        <v>1</v>
      </c>
      <c r="V115" s="189">
        <f>'29'!V$116</f>
        <v>56</v>
      </c>
      <c r="W115" s="193">
        <f>'29'!W$116</f>
        <v>357524</v>
      </c>
      <c r="X115" s="193">
        <f>'29'!X$116</f>
        <v>159353</v>
      </c>
      <c r="Y115" s="190">
        <f>'29'!Y$116</f>
        <v>128588.95500000002</v>
      </c>
      <c r="Z115" s="191">
        <f>'29'!Z$116</f>
        <v>0.99999999999999989</v>
      </c>
    </row>
    <row r="116" spans="1:26" x14ac:dyDescent="0.2">
      <c r="A116" s="192" t="str">
        <f>Translation!$A$24&amp;" 33"</f>
        <v>Abbildung 33</v>
      </c>
      <c r="B116" s="189">
        <f>'30'!B$116</f>
        <v>38</v>
      </c>
      <c r="C116" s="193">
        <f>'30'!C$116</f>
        <v>325723</v>
      </c>
      <c r="D116" s="193">
        <f>'30'!D$116</f>
        <v>156184</v>
      </c>
      <c r="E116" s="190">
        <f>'30'!E$116</f>
        <v>134010.117</v>
      </c>
      <c r="F116" s="191">
        <f>'30'!F$116</f>
        <v>1</v>
      </c>
      <c r="G116" s="189">
        <f>'30'!G$116</f>
        <v>39</v>
      </c>
      <c r="H116" s="193">
        <f>'30'!H$116</f>
        <v>322040</v>
      </c>
      <c r="I116" s="193">
        <f>'30'!I$116</f>
        <v>150098</v>
      </c>
      <c r="J116" s="190">
        <f>'30'!J$116</f>
        <v>127277.37899999999</v>
      </c>
      <c r="K116" s="191">
        <f>'30'!K$116</f>
        <v>1.0000000000000002</v>
      </c>
      <c r="L116" s="189">
        <f>'30'!L$116</f>
        <v>38</v>
      </c>
      <c r="M116" s="193">
        <f>'30'!M$116</f>
        <v>308343</v>
      </c>
      <c r="N116" s="193">
        <f>'30'!N$116</f>
        <v>143834</v>
      </c>
      <c r="O116" s="190">
        <f>'30'!O$116</f>
        <v>119248.00900000001</v>
      </c>
      <c r="P116" s="191">
        <f>'30'!P$116</f>
        <v>1</v>
      </c>
      <c r="Q116" s="189">
        <f>'30'!Q$116</f>
        <v>43</v>
      </c>
      <c r="R116" s="193">
        <f>'30'!R$116</f>
        <v>339380</v>
      </c>
      <c r="S116" s="193">
        <f>'30'!S$116</f>
        <v>153912</v>
      </c>
      <c r="T116" s="190">
        <f>'30'!T$116</f>
        <v>125301.11600000001</v>
      </c>
      <c r="U116" s="191">
        <f>'30'!U$116</f>
        <v>1</v>
      </c>
      <c r="V116" s="189">
        <f>'30'!V$116</f>
        <v>58</v>
      </c>
      <c r="W116" s="193">
        <f>'30'!W$116</f>
        <v>358116</v>
      </c>
      <c r="X116" s="193">
        <f>'30'!X$116</f>
        <v>159705</v>
      </c>
      <c r="Y116" s="190">
        <f>'30'!Y$116</f>
        <v>128796.19100000001</v>
      </c>
      <c r="Z116" s="191">
        <f>'30'!Z$116</f>
        <v>1</v>
      </c>
    </row>
    <row r="117" spans="1:26" x14ac:dyDescent="0.2">
      <c r="A117" s="192" t="str">
        <f>Translation!$A$24&amp;" 34"</f>
        <v>Abbildung 34</v>
      </c>
      <c r="B117" s="189">
        <f>'31'!B$116</f>
        <v>38</v>
      </c>
      <c r="C117" s="193">
        <f>'31'!C$116</f>
        <v>325723</v>
      </c>
      <c r="D117" s="193">
        <f>'31'!D$116</f>
        <v>156184</v>
      </c>
      <c r="E117" s="190">
        <f>'31'!E$116</f>
        <v>134010.117</v>
      </c>
      <c r="F117" s="191">
        <f>'31'!F$116</f>
        <v>1</v>
      </c>
      <c r="G117" s="189">
        <f>'31'!G$116</f>
        <v>39</v>
      </c>
      <c r="H117" s="193">
        <f>'31'!H$116</f>
        <v>322040</v>
      </c>
      <c r="I117" s="193">
        <f>'31'!I$116</f>
        <v>150098</v>
      </c>
      <c r="J117" s="190">
        <f>'31'!J$116</f>
        <v>127277.37899999999</v>
      </c>
      <c r="K117" s="191">
        <f>'31'!K$116</f>
        <v>1</v>
      </c>
      <c r="L117" s="189">
        <f>'31'!L$116</f>
        <v>38</v>
      </c>
      <c r="M117" s="193">
        <f>'31'!M$116</f>
        <v>308343</v>
      </c>
      <c r="N117" s="193">
        <f>'31'!N$116</f>
        <v>143834</v>
      </c>
      <c r="O117" s="190">
        <f>'31'!O$116</f>
        <v>119248.00900000001</v>
      </c>
      <c r="P117" s="191">
        <f>'31'!P$116</f>
        <v>1</v>
      </c>
      <c r="Q117" s="189">
        <f>'31'!Q$116</f>
        <v>43</v>
      </c>
      <c r="R117" s="193">
        <f>'31'!R$116</f>
        <v>339380</v>
      </c>
      <c r="S117" s="193">
        <f>'31'!S$116</f>
        <v>153912</v>
      </c>
      <c r="T117" s="190">
        <f>'31'!T$116</f>
        <v>125301.11600000001</v>
      </c>
      <c r="U117" s="191">
        <f>'31'!U$116</f>
        <v>1</v>
      </c>
      <c r="V117" s="189">
        <f>'31'!V$116</f>
        <v>58</v>
      </c>
      <c r="W117" s="193">
        <f>'31'!W$116</f>
        <v>358116</v>
      </c>
      <c r="X117" s="193">
        <f>'31'!X$116</f>
        <v>159705</v>
      </c>
      <c r="Y117" s="190">
        <f>'31'!Y$116</f>
        <v>128796.19099999999</v>
      </c>
      <c r="Z117" s="191">
        <f>'31'!Z$116</f>
        <v>1</v>
      </c>
    </row>
    <row r="118" spans="1:26" x14ac:dyDescent="0.2">
      <c r="A118" s="192" t="str">
        <f>Translation!$A$24&amp;" 35"</f>
        <v>Abbildung 35</v>
      </c>
      <c r="B118" s="189">
        <f>'32'!B$116</f>
        <v>38</v>
      </c>
      <c r="C118" s="193">
        <f>'32'!C$116</f>
        <v>325723</v>
      </c>
      <c r="D118" s="193">
        <f>'32'!D$116</f>
        <v>156184</v>
      </c>
      <c r="E118" s="190">
        <f>'32'!E$116</f>
        <v>134010.117</v>
      </c>
      <c r="F118" s="191">
        <f>'32'!F$116</f>
        <v>1</v>
      </c>
      <c r="G118" s="189">
        <f>'32'!G$116</f>
        <v>39</v>
      </c>
      <c r="H118" s="193">
        <f>'32'!H$116</f>
        <v>322040</v>
      </c>
      <c r="I118" s="193">
        <f>'32'!I$116</f>
        <v>150098</v>
      </c>
      <c r="J118" s="190">
        <f>'32'!J$116</f>
        <v>127277.37899999999</v>
      </c>
      <c r="K118" s="191">
        <f>'32'!K$116</f>
        <v>1</v>
      </c>
      <c r="L118" s="189">
        <f>'32'!L$116</f>
        <v>38</v>
      </c>
      <c r="M118" s="193">
        <f>'32'!M$116</f>
        <v>308343</v>
      </c>
      <c r="N118" s="193">
        <f>'32'!N$116</f>
        <v>143834</v>
      </c>
      <c r="O118" s="190">
        <f>'32'!O$116</f>
        <v>119248.00900000001</v>
      </c>
      <c r="P118" s="191">
        <f>'32'!P$116</f>
        <v>0.99999999999999989</v>
      </c>
      <c r="Q118" s="189">
        <f>'32'!Q$116</f>
        <v>43</v>
      </c>
      <c r="R118" s="193">
        <f>'32'!R$116</f>
        <v>339380</v>
      </c>
      <c r="S118" s="193">
        <f>'32'!S$116</f>
        <v>153912</v>
      </c>
      <c r="T118" s="190">
        <f>'32'!T$116</f>
        <v>125301.11600000001</v>
      </c>
      <c r="U118" s="191">
        <f>'32'!U$116</f>
        <v>1</v>
      </c>
      <c r="V118" s="189">
        <f>'32'!V$116</f>
        <v>58</v>
      </c>
      <c r="W118" s="193">
        <f>'32'!W$116</f>
        <v>358116</v>
      </c>
      <c r="X118" s="193">
        <f>'32'!X$116</f>
        <v>159705</v>
      </c>
      <c r="Y118" s="190">
        <f>'32'!Y$116</f>
        <v>128796.19100000001</v>
      </c>
      <c r="Z118" s="191">
        <f>'32'!Z$116</f>
        <v>0.99999999999999989</v>
      </c>
    </row>
    <row r="119" spans="1:26" x14ac:dyDescent="0.2">
      <c r="A119" s="192" t="str">
        <f>Translation!$A$24&amp;" 38"</f>
        <v>Abbildung 38</v>
      </c>
      <c r="B119" s="189">
        <f>'35'!B$116</f>
        <v>28</v>
      </c>
      <c r="C119" s="193">
        <f>'35'!C$116</f>
        <v>281571</v>
      </c>
      <c r="D119" s="193">
        <f>'35'!D$116</f>
        <v>136921</v>
      </c>
      <c r="E119" s="190">
        <f>'35'!E$116</f>
        <v>115939.117</v>
      </c>
      <c r="F119" s="191">
        <f>'35'!F$116</f>
        <v>1</v>
      </c>
      <c r="G119" s="189">
        <f>'35'!G$116</f>
        <v>28</v>
      </c>
      <c r="H119" s="193">
        <f>'35'!H$116</f>
        <v>277031</v>
      </c>
      <c r="I119" s="193">
        <f>'35'!I$116</f>
        <v>132239</v>
      </c>
      <c r="J119" s="190">
        <f>'35'!J$116</f>
        <v>110188.113</v>
      </c>
      <c r="K119" s="191">
        <f>'35'!K$116</f>
        <v>1</v>
      </c>
      <c r="L119" s="189">
        <f>'35'!L$116</f>
        <v>26</v>
      </c>
      <c r="M119" s="193">
        <f>'35'!M$116</f>
        <v>242060</v>
      </c>
      <c r="N119" s="193">
        <f>'35'!N$116</f>
        <v>110234</v>
      </c>
      <c r="O119" s="190">
        <f>'35'!O$116</f>
        <v>91913.683999999994</v>
      </c>
      <c r="P119" s="191">
        <f>'35'!P$116</f>
        <v>1</v>
      </c>
      <c r="Q119" s="189">
        <f>'35'!Q$116</f>
        <v>26</v>
      </c>
      <c r="R119" s="193">
        <f>'35'!R$116</f>
        <v>244130</v>
      </c>
      <c r="S119" s="193">
        <f>'35'!S$116</f>
        <v>109859</v>
      </c>
      <c r="T119" s="190">
        <f>'35'!T$116</f>
        <v>90668.198999999993</v>
      </c>
      <c r="U119" s="191">
        <f>'35'!U$116</f>
        <v>1.0000000000000002</v>
      </c>
      <c r="V119" s="189">
        <f>'35'!V$116</f>
        <v>0</v>
      </c>
      <c r="W119" s="193">
        <f>'35'!W$116</f>
        <v>0</v>
      </c>
      <c r="X119" s="193">
        <f>'35'!X$116</f>
        <v>0</v>
      </c>
      <c r="Y119" s="190">
        <f>'35'!Y$116</f>
        <v>0</v>
      </c>
      <c r="Z119" s="191">
        <f>'35'!Z$116</f>
        <v>0</v>
      </c>
    </row>
    <row r="120" spans="1:26" x14ac:dyDescent="0.2">
      <c r="A120" s="192" t="str">
        <f>Translation!$A$24&amp;" 43"</f>
        <v>Abbildung 43</v>
      </c>
      <c r="B120" s="189">
        <f>'40'!B$116</f>
        <v>38</v>
      </c>
      <c r="C120" s="193">
        <f>'40'!C$116</f>
        <v>325723</v>
      </c>
      <c r="D120" s="193">
        <f>'40'!D$116</f>
        <v>156184</v>
      </c>
      <c r="E120" s="190">
        <f>'40'!E$116</f>
        <v>134010.117</v>
      </c>
      <c r="F120" s="191">
        <f>'40'!F$116</f>
        <v>0.99999999999999989</v>
      </c>
      <c r="G120" s="189">
        <f>'40'!G$116</f>
        <v>39</v>
      </c>
      <c r="H120" s="193">
        <f>'40'!H$116</f>
        <v>322040</v>
      </c>
      <c r="I120" s="193">
        <f>'40'!I$116</f>
        <v>150098</v>
      </c>
      <c r="J120" s="190">
        <f>'40'!J$116</f>
        <v>127277.379</v>
      </c>
      <c r="K120" s="191">
        <f>'40'!K$116</f>
        <v>1</v>
      </c>
      <c r="L120" s="189">
        <f>'40'!L$116</f>
        <v>38</v>
      </c>
      <c r="M120" s="193">
        <f>'40'!M$116</f>
        <v>308343</v>
      </c>
      <c r="N120" s="193">
        <f>'40'!N$116</f>
        <v>143834</v>
      </c>
      <c r="O120" s="190">
        <f>'40'!O$116</f>
        <v>119248.00900000001</v>
      </c>
      <c r="P120" s="191">
        <f>'40'!P$116</f>
        <v>1</v>
      </c>
      <c r="Q120" s="189">
        <f>'40'!Q$116</f>
        <v>43</v>
      </c>
      <c r="R120" s="193">
        <f>'40'!R$116</f>
        <v>339380</v>
      </c>
      <c r="S120" s="193">
        <f>'40'!S$116</f>
        <v>153912</v>
      </c>
      <c r="T120" s="190">
        <f>'40'!T$116</f>
        <v>125301.11600000001</v>
      </c>
      <c r="U120" s="191">
        <f>'40'!U$116</f>
        <v>1</v>
      </c>
      <c r="V120" s="189">
        <f>'40'!V$116</f>
        <v>58</v>
      </c>
      <c r="W120" s="193">
        <f>'40'!W$116</f>
        <v>358116</v>
      </c>
      <c r="X120" s="193">
        <f>'40'!X$116</f>
        <v>159705</v>
      </c>
      <c r="Y120" s="190">
        <f>'40'!Y$116</f>
        <v>128796.19100000001</v>
      </c>
      <c r="Z120" s="191">
        <f>'40'!Z$116</f>
        <v>1</v>
      </c>
    </row>
    <row r="121" spans="1:26" x14ac:dyDescent="0.2">
      <c r="A121" s="192" t="str">
        <f>Translation!$A$24&amp;" 44"</f>
        <v>Abbildung 44</v>
      </c>
      <c r="B121" s="189">
        <f>'41'!B$116</f>
        <v>38</v>
      </c>
      <c r="C121" s="193">
        <f>'41'!C$116</f>
        <v>325723</v>
      </c>
      <c r="D121" s="193">
        <f>'41'!D$116</f>
        <v>156184</v>
      </c>
      <c r="E121" s="190">
        <f>'41'!E$116</f>
        <v>134010.117</v>
      </c>
      <c r="F121" s="191">
        <f>'41'!F$116</f>
        <v>1</v>
      </c>
      <c r="G121" s="189">
        <f>'41'!G$116</f>
        <v>39</v>
      </c>
      <c r="H121" s="193">
        <f>'41'!H$116</f>
        <v>322040</v>
      </c>
      <c r="I121" s="193">
        <f>'41'!I$116</f>
        <v>150098</v>
      </c>
      <c r="J121" s="190">
        <f>'41'!J$116</f>
        <v>127277.379</v>
      </c>
      <c r="K121" s="191">
        <f>'41'!K$116</f>
        <v>1</v>
      </c>
      <c r="L121" s="189">
        <f>'41'!L$116</f>
        <v>38</v>
      </c>
      <c r="M121" s="193">
        <f>'41'!M$116</f>
        <v>308343</v>
      </c>
      <c r="N121" s="193">
        <f>'41'!N$116</f>
        <v>143834</v>
      </c>
      <c r="O121" s="190">
        <f>'41'!O$116</f>
        <v>119248.00899999999</v>
      </c>
      <c r="P121" s="191">
        <f>'41'!P$116</f>
        <v>1</v>
      </c>
      <c r="Q121" s="189">
        <f>'41'!Q$116</f>
        <v>43</v>
      </c>
      <c r="R121" s="193">
        <f>'41'!R$116</f>
        <v>339380</v>
      </c>
      <c r="S121" s="193">
        <f>'41'!S$116</f>
        <v>153912</v>
      </c>
      <c r="T121" s="190">
        <f>'41'!T$116</f>
        <v>125301.11599999999</v>
      </c>
      <c r="U121" s="191">
        <f>'41'!U$116</f>
        <v>1</v>
      </c>
      <c r="V121" s="189">
        <f>'41'!V$116</f>
        <v>58</v>
      </c>
      <c r="W121" s="193">
        <f>'41'!W$116</f>
        <v>358116</v>
      </c>
      <c r="X121" s="193">
        <f>'41'!X$116</f>
        <v>159705</v>
      </c>
      <c r="Y121" s="190">
        <f>'41'!Y$116</f>
        <v>128796.19099999999</v>
      </c>
      <c r="Z121" s="191">
        <f>'41'!Z$116</f>
        <v>1</v>
      </c>
    </row>
    <row r="122" spans="1:26" x14ac:dyDescent="0.2">
      <c r="A122" s="192" t="str">
        <f>Translation!$A$24&amp;" 45"</f>
        <v>Abbildung 45</v>
      </c>
      <c r="B122" s="189">
        <f>'42'!B$116</f>
        <v>38</v>
      </c>
      <c r="C122" s="193">
        <f>'42'!C$116</f>
        <v>325723</v>
      </c>
      <c r="D122" s="193">
        <f>'42'!D$116</f>
        <v>156184</v>
      </c>
      <c r="E122" s="190">
        <f>'42'!E$116</f>
        <v>134010.117</v>
      </c>
      <c r="F122" s="191">
        <f>'42'!F$116</f>
        <v>1</v>
      </c>
      <c r="G122" s="189">
        <f>'42'!G$116</f>
        <v>39</v>
      </c>
      <c r="H122" s="193">
        <f>'42'!H$116</f>
        <v>322040</v>
      </c>
      <c r="I122" s="193">
        <f>'42'!I$116</f>
        <v>150098</v>
      </c>
      <c r="J122" s="190">
        <f>'42'!J$116</f>
        <v>127277.37900000002</v>
      </c>
      <c r="K122" s="191">
        <f>'42'!K$116</f>
        <v>0.99999999999999989</v>
      </c>
      <c r="L122" s="189">
        <f>'42'!L$116</f>
        <v>38</v>
      </c>
      <c r="M122" s="193">
        <f>'42'!M$116</f>
        <v>308343</v>
      </c>
      <c r="N122" s="193">
        <f>'42'!N$116</f>
        <v>143834</v>
      </c>
      <c r="O122" s="190">
        <f>'42'!O$116</f>
        <v>119248.00900000001</v>
      </c>
      <c r="P122" s="191">
        <f>'42'!P$116</f>
        <v>1</v>
      </c>
      <c r="Q122" s="189">
        <f>'42'!Q$116</f>
        <v>43</v>
      </c>
      <c r="R122" s="193">
        <f>'42'!R$116</f>
        <v>339380</v>
      </c>
      <c r="S122" s="193">
        <f>'42'!S$116</f>
        <v>153912</v>
      </c>
      <c r="T122" s="190">
        <f>'42'!T$116</f>
        <v>125301.11599999999</v>
      </c>
      <c r="U122" s="191">
        <f>'42'!U$116</f>
        <v>1</v>
      </c>
      <c r="V122" s="189">
        <f>'42'!V$116</f>
        <v>58</v>
      </c>
      <c r="W122" s="193">
        <f>'42'!W$116</f>
        <v>358116</v>
      </c>
      <c r="X122" s="193">
        <f>'42'!X$116</f>
        <v>159705</v>
      </c>
      <c r="Y122" s="190">
        <f>'42'!Y$116</f>
        <v>128796.19099999999</v>
      </c>
      <c r="Z122" s="191">
        <f>'42'!Z$116</f>
        <v>1</v>
      </c>
    </row>
    <row r="123" spans="1:26" x14ac:dyDescent="0.2">
      <c r="A123" s="192" t="str">
        <f>Translation!$A$24&amp;" 46"</f>
        <v>Abbildung 46</v>
      </c>
      <c r="B123" s="189">
        <f>'43'!B$116</f>
        <v>38</v>
      </c>
      <c r="C123" s="193">
        <f>'43'!C$116</f>
        <v>325723</v>
      </c>
      <c r="D123" s="193">
        <f>'43'!D$116</f>
        <v>156184</v>
      </c>
      <c r="E123" s="190">
        <f>'43'!E$116</f>
        <v>134010.117</v>
      </c>
      <c r="F123" s="191">
        <f>'43'!F$116</f>
        <v>1</v>
      </c>
      <c r="G123" s="189">
        <f>'43'!G$116</f>
        <v>39</v>
      </c>
      <c r="H123" s="193">
        <f>'43'!H$116</f>
        <v>322040</v>
      </c>
      <c r="I123" s="193">
        <f>'43'!I$116</f>
        <v>150098</v>
      </c>
      <c r="J123" s="190">
        <f>'43'!J$116</f>
        <v>127277.379</v>
      </c>
      <c r="K123" s="191">
        <f>'43'!K$116</f>
        <v>1</v>
      </c>
      <c r="L123" s="189">
        <f>'43'!L$116</f>
        <v>38</v>
      </c>
      <c r="M123" s="193">
        <f>'43'!M$116</f>
        <v>308343</v>
      </c>
      <c r="N123" s="193">
        <f>'43'!N$116</f>
        <v>143834</v>
      </c>
      <c r="O123" s="190">
        <f>'43'!O$116</f>
        <v>119248.00899999999</v>
      </c>
      <c r="P123" s="191">
        <f>'43'!P$116</f>
        <v>1</v>
      </c>
      <c r="Q123" s="189">
        <f>'43'!Q$116</f>
        <v>43</v>
      </c>
      <c r="R123" s="193">
        <f>'43'!R$116</f>
        <v>339380</v>
      </c>
      <c r="S123" s="193">
        <f>'43'!S$116</f>
        <v>153912</v>
      </c>
      <c r="T123" s="190">
        <f>'43'!T$116</f>
        <v>125301.11599999999</v>
      </c>
      <c r="U123" s="191">
        <f>'43'!U$116</f>
        <v>1</v>
      </c>
      <c r="V123" s="189">
        <f>'43'!V$116</f>
        <v>58</v>
      </c>
      <c r="W123" s="193">
        <f>'43'!W$116</f>
        <v>358116</v>
      </c>
      <c r="X123" s="193">
        <f>'43'!X$116</f>
        <v>159705</v>
      </c>
      <c r="Y123" s="190">
        <f>'43'!Y$116</f>
        <v>128796.19100000001</v>
      </c>
      <c r="Z123" s="191">
        <f>'43'!Z$116</f>
        <v>1</v>
      </c>
    </row>
    <row r="124" spans="1:26" x14ac:dyDescent="0.2">
      <c r="A124" s="192" t="str">
        <f>Translation!$A$27&amp;" 1"</f>
        <v>Bonus 1</v>
      </c>
      <c r="B124" s="189">
        <f>'B 1'!B$116</f>
        <v>38</v>
      </c>
      <c r="C124" s="193">
        <f>'B 1'!C$116</f>
        <v>325723</v>
      </c>
      <c r="D124" s="193">
        <f>'B 1'!D$116</f>
        <v>156184</v>
      </c>
      <c r="E124" s="190">
        <f>'B 1'!E$116</f>
        <v>134010.117</v>
      </c>
      <c r="F124" s="191">
        <f>'B 1'!F$116</f>
        <v>1</v>
      </c>
      <c r="G124" s="189">
        <f>'B 1'!G$116</f>
        <v>39</v>
      </c>
      <c r="H124" s="193">
        <f>'B 1'!H$116</f>
        <v>322040</v>
      </c>
      <c r="I124" s="193">
        <f>'B 1'!I$116</f>
        <v>150098</v>
      </c>
      <c r="J124" s="190">
        <f>'B 1'!J$116</f>
        <v>127277.379</v>
      </c>
      <c r="K124" s="191">
        <f>'B 1'!K$116</f>
        <v>0.99999999999999989</v>
      </c>
      <c r="L124" s="189">
        <f>'B 1'!L$116</f>
        <v>38</v>
      </c>
      <c r="M124" s="193">
        <f>'B 1'!M$116</f>
        <v>308343</v>
      </c>
      <c r="N124" s="193">
        <f>'B 1'!N$116</f>
        <v>143834</v>
      </c>
      <c r="O124" s="190">
        <f>'B 1'!O$116</f>
        <v>119248.00900000001</v>
      </c>
      <c r="P124" s="191">
        <f>'B 1'!P$116</f>
        <v>1</v>
      </c>
      <c r="Q124" s="189">
        <f>'B 1'!Q$116</f>
        <v>43</v>
      </c>
      <c r="R124" s="193">
        <f>'B 1'!R$116</f>
        <v>339380</v>
      </c>
      <c r="S124" s="193">
        <f>'B 1'!S$116</f>
        <v>153912</v>
      </c>
      <c r="T124" s="190">
        <f>'B 1'!T$116</f>
        <v>125301.11599999999</v>
      </c>
      <c r="U124" s="191">
        <f>'B 1'!U$116</f>
        <v>1</v>
      </c>
      <c r="V124" s="189">
        <f>'B 1'!V$116</f>
        <v>58</v>
      </c>
      <c r="W124" s="193">
        <f>'B 1'!W$116</f>
        <v>358116</v>
      </c>
      <c r="X124" s="193">
        <f>'B 1'!X$116</f>
        <v>159705</v>
      </c>
      <c r="Y124" s="190">
        <f>'B 1'!Y$116</f>
        <v>128796.19099999999</v>
      </c>
      <c r="Z124" s="191">
        <f>'B 1'!Z$116</f>
        <v>1</v>
      </c>
    </row>
    <row r="125" spans="1:26" x14ac:dyDescent="0.2">
      <c r="A125" s="192" t="str">
        <f>Translation!$A$27&amp;" 2"</f>
        <v>Bonus 2</v>
      </c>
      <c r="B125" s="189">
        <f>'26'!B$116</f>
        <v>38</v>
      </c>
      <c r="C125" s="193">
        <f>'26'!C$116</f>
        <v>325723</v>
      </c>
      <c r="D125" s="193">
        <f>'26'!D$116</f>
        <v>156184</v>
      </c>
      <c r="E125" s="190">
        <f>'26'!E$116</f>
        <v>134010.117</v>
      </c>
      <c r="F125" s="191">
        <f>'26'!F$116</f>
        <v>1</v>
      </c>
      <c r="G125" s="189">
        <f>'26'!G$116</f>
        <v>39</v>
      </c>
      <c r="H125" s="193">
        <f>'26'!H$116</f>
        <v>322040</v>
      </c>
      <c r="I125" s="193">
        <f>'26'!I$116</f>
        <v>150098</v>
      </c>
      <c r="J125" s="190">
        <f>'26'!J$116</f>
        <v>127277.379</v>
      </c>
      <c r="K125" s="191">
        <f>'26'!K$116</f>
        <v>1</v>
      </c>
      <c r="L125" s="189">
        <f>'26'!L$116</f>
        <v>38</v>
      </c>
      <c r="M125" s="193">
        <f>'26'!M$116</f>
        <v>308343</v>
      </c>
      <c r="N125" s="193">
        <f>'26'!N$116</f>
        <v>143834</v>
      </c>
      <c r="O125" s="190">
        <f>'26'!O$116</f>
        <v>119248.00900000001</v>
      </c>
      <c r="P125" s="191">
        <f>'26'!P$116</f>
        <v>1</v>
      </c>
      <c r="Q125" s="189">
        <f>'26'!Q$116</f>
        <v>43</v>
      </c>
      <c r="R125" s="193">
        <f>'26'!R$116</f>
        <v>339380</v>
      </c>
      <c r="S125" s="193">
        <f>'26'!S$116</f>
        <v>153912</v>
      </c>
      <c r="T125" s="190">
        <f>'26'!T$116</f>
        <v>125301.11600000001</v>
      </c>
      <c r="U125" s="191">
        <f>'26'!U$116</f>
        <v>1</v>
      </c>
      <c r="V125" s="189">
        <f>'26'!V$116</f>
        <v>58</v>
      </c>
      <c r="W125" s="193">
        <f>'26'!W$116</f>
        <v>358116</v>
      </c>
      <c r="X125" s="193">
        <f>'26'!X$116</f>
        <v>159705</v>
      </c>
      <c r="Y125" s="190">
        <f>'26'!Y$116</f>
        <v>128796.19100000001</v>
      </c>
      <c r="Z125" s="191">
        <f>'26'!Z$116</f>
        <v>1</v>
      </c>
    </row>
    <row r="126" spans="1:26" x14ac:dyDescent="0.2">
      <c r="W126" s="193"/>
      <c r="X126" s="193"/>
    </row>
    <row r="129" spans="3:24" x14ac:dyDescent="0.2">
      <c r="C129" s="193"/>
      <c r="D129" s="193"/>
      <c r="H129" s="193"/>
      <c r="I129" s="193"/>
      <c r="M129" s="193"/>
      <c r="N129" s="193"/>
      <c r="R129" s="193"/>
      <c r="S129" s="193"/>
      <c r="W129" s="193"/>
      <c r="X129" s="193"/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2" orientation="portrait" cellComments="atEnd" r:id="rId1"/>
  <headerFooter>
    <oddFooter>&amp;L&amp;10&amp;F / &amp;A&amp;C&amp;10&amp;H&amp;P / &amp;N&amp;R&amp;10OAK BV - RM / 10.05.2016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9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Translation!$A$214</f>
        <v>Erhöhung Deckungsgrad pro Jahr bei einem Sanierungsbeitrag von 1%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Translation!$A$215</f>
        <v>Erhöhung Deckungsgrad um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</row>
    <row r="12" spans="1:26" x14ac:dyDescent="0.2">
      <c r="A12" s="114" t="str">
        <f>Translation!$A216</f>
        <v>0.00% – 0.19%</v>
      </c>
      <c r="B12" s="30">
        <v>306</v>
      </c>
      <c r="C12" s="6">
        <v>789314</v>
      </c>
      <c r="D12" s="6">
        <v>434484</v>
      </c>
      <c r="E12" s="150">
        <v>371755.87600000005</v>
      </c>
      <c r="F12" s="31">
        <f t="shared" ref="F12:F17" si="0">E12/E$36</f>
        <v>0.41155862284035788</v>
      </c>
      <c r="G12" s="41">
        <v>308</v>
      </c>
      <c r="H12" s="42">
        <v>755769</v>
      </c>
      <c r="I12" s="42">
        <v>414746</v>
      </c>
      <c r="J12" s="160">
        <v>349162.42300000001</v>
      </c>
      <c r="K12" s="44">
        <f t="shared" ref="K12:K17" si="1">J12/J$36</f>
        <v>0.405972067890081</v>
      </c>
      <c r="L12" s="76">
        <v>301</v>
      </c>
      <c r="M12" s="122">
        <v>664326</v>
      </c>
      <c r="N12" s="122">
        <v>373510</v>
      </c>
      <c r="O12" s="167">
        <v>299730.50599999999</v>
      </c>
      <c r="P12" s="124">
        <f t="shared" ref="P12:P17" si="2">O12/O$36</f>
        <v>0.36409086494440163</v>
      </c>
      <c r="Q12" s="76">
        <v>301</v>
      </c>
      <c r="R12" s="122">
        <v>626337</v>
      </c>
      <c r="S12" s="122">
        <v>346672</v>
      </c>
      <c r="T12" s="167">
        <v>277850.886</v>
      </c>
      <c r="U12" s="124">
        <f t="shared" ref="U12:U17" si="3">T12/T$36</f>
        <v>0.34557234835026851</v>
      </c>
      <c r="V12" s="76">
        <v>320</v>
      </c>
      <c r="W12" s="122">
        <v>600746</v>
      </c>
      <c r="X12" s="122">
        <v>334026</v>
      </c>
      <c r="Y12" s="167">
        <v>289030.84899999999</v>
      </c>
      <c r="Z12" s="124">
        <f t="shared" ref="Z12:Z17" si="4">Y12/Y$36</f>
        <v>0.38772415903640894</v>
      </c>
    </row>
    <row r="13" spans="1:26" x14ac:dyDescent="0.2">
      <c r="A13" s="114" t="str">
        <f>Translation!$A217</f>
        <v>0.20% – 0.39%</v>
      </c>
      <c r="B13" s="30">
        <v>584</v>
      </c>
      <c r="C13" s="6">
        <v>887566</v>
      </c>
      <c r="D13" s="6">
        <v>323121</v>
      </c>
      <c r="E13" s="150">
        <v>281678.67199999996</v>
      </c>
      <c r="F13" s="31">
        <f t="shared" si="0"/>
        <v>0.3118371324191816</v>
      </c>
      <c r="G13" s="41">
        <v>570</v>
      </c>
      <c r="H13" s="42">
        <v>842161</v>
      </c>
      <c r="I13" s="42">
        <v>320239</v>
      </c>
      <c r="J13" s="160">
        <v>268897.19099999999</v>
      </c>
      <c r="K13" s="44">
        <f t="shared" si="1"/>
        <v>0.31264747146087962</v>
      </c>
      <c r="L13" s="76">
        <v>556</v>
      </c>
      <c r="M13" s="122">
        <v>918463</v>
      </c>
      <c r="N13" s="122">
        <v>339519</v>
      </c>
      <c r="O13" s="167">
        <v>286403.08199999999</v>
      </c>
      <c r="P13" s="124">
        <f t="shared" si="2"/>
        <v>0.34790167754270024</v>
      </c>
      <c r="Q13" s="76">
        <v>561</v>
      </c>
      <c r="R13" s="122">
        <v>942040</v>
      </c>
      <c r="S13" s="122">
        <v>358575</v>
      </c>
      <c r="T13" s="167">
        <v>289204.511</v>
      </c>
      <c r="U13" s="124">
        <f t="shared" si="3"/>
        <v>0.35969322775440443</v>
      </c>
      <c r="V13" s="76">
        <v>573</v>
      </c>
      <c r="W13" s="122">
        <v>938271</v>
      </c>
      <c r="X13" s="122">
        <v>367635</v>
      </c>
      <c r="Y13" s="167">
        <v>283554.48300000001</v>
      </c>
      <c r="Z13" s="124">
        <f t="shared" si="4"/>
        <v>0.38037781725568931</v>
      </c>
    </row>
    <row r="14" spans="1:26" x14ac:dyDescent="0.2">
      <c r="A14" s="114" t="str">
        <f>Translation!$A218</f>
        <v>0.40% – 0.59%</v>
      </c>
      <c r="B14" s="30">
        <v>345</v>
      </c>
      <c r="C14" s="6">
        <v>652782</v>
      </c>
      <c r="D14" s="6">
        <v>103506</v>
      </c>
      <c r="E14" s="150">
        <v>98901.266000000003</v>
      </c>
      <c r="F14" s="31">
        <f t="shared" si="0"/>
        <v>0.10949031732891266</v>
      </c>
      <c r="G14" s="41">
        <v>347</v>
      </c>
      <c r="H14" s="42">
        <v>613510</v>
      </c>
      <c r="I14" s="42">
        <v>94400</v>
      </c>
      <c r="J14" s="160">
        <v>91525.964999999997</v>
      </c>
      <c r="K14" s="44">
        <f t="shared" si="1"/>
        <v>0.10641748031598801</v>
      </c>
      <c r="L14" s="76">
        <v>380</v>
      </c>
      <c r="M14" s="122">
        <v>486443</v>
      </c>
      <c r="N14" s="122">
        <v>83088</v>
      </c>
      <c r="O14" s="167">
        <v>75725.501000000004</v>
      </c>
      <c r="P14" s="124">
        <f t="shared" si="2"/>
        <v>9.1985842633709597E-2</v>
      </c>
      <c r="Q14" s="76">
        <v>402</v>
      </c>
      <c r="R14" s="122">
        <v>497523</v>
      </c>
      <c r="S14" s="122">
        <v>76046</v>
      </c>
      <c r="T14" s="167">
        <v>80538.403999999995</v>
      </c>
      <c r="U14" s="124">
        <f t="shared" si="3"/>
        <v>0.10016828019998704</v>
      </c>
      <c r="V14" s="76">
        <v>406</v>
      </c>
      <c r="W14" s="122">
        <v>430036</v>
      </c>
      <c r="X14" s="122">
        <v>64230</v>
      </c>
      <c r="Y14" s="167">
        <v>66797.297000000006</v>
      </c>
      <c r="Z14" s="124">
        <f t="shared" si="4"/>
        <v>8.96060953176325E-2</v>
      </c>
    </row>
    <row r="15" spans="1:26" x14ac:dyDescent="0.2">
      <c r="A15" s="114" t="str">
        <f>Translation!$A219</f>
        <v>0.60% – 0.79%</v>
      </c>
      <c r="B15" s="30">
        <v>170</v>
      </c>
      <c r="C15" s="6">
        <v>694281</v>
      </c>
      <c r="D15" s="6">
        <v>28479</v>
      </c>
      <c r="E15" s="150">
        <v>71707.388000000006</v>
      </c>
      <c r="F15" s="31">
        <f t="shared" si="0"/>
        <v>7.9384875285089515E-2</v>
      </c>
      <c r="G15" s="41">
        <v>193</v>
      </c>
      <c r="H15" s="42">
        <v>592396</v>
      </c>
      <c r="I15" s="42">
        <v>31941</v>
      </c>
      <c r="J15" s="160">
        <v>60834.277999999998</v>
      </c>
      <c r="K15" s="44">
        <f t="shared" si="1"/>
        <v>7.0732175089356794E-2</v>
      </c>
      <c r="L15" s="76">
        <v>202</v>
      </c>
      <c r="M15" s="122">
        <v>703689</v>
      </c>
      <c r="N15" s="122">
        <v>48418</v>
      </c>
      <c r="O15" s="167">
        <v>72356.523000000001</v>
      </c>
      <c r="P15" s="124">
        <f t="shared" si="2"/>
        <v>8.7893452671912842E-2</v>
      </c>
      <c r="Q15" s="76">
        <v>238</v>
      </c>
      <c r="R15" s="122">
        <v>514157</v>
      </c>
      <c r="S15" s="122">
        <v>54244</v>
      </c>
      <c r="T15" s="167">
        <v>51497.332000000002</v>
      </c>
      <c r="U15" s="124">
        <f t="shared" si="3"/>
        <v>6.4048937216681867E-2</v>
      </c>
      <c r="V15" s="76">
        <v>258</v>
      </c>
      <c r="W15" s="122">
        <v>589550</v>
      </c>
      <c r="X15" s="122">
        <v>72735</v>
      </c>
      <c r="Y15" s="167">
        <v>59004.19</v>
      </c>
      <c r="Z15" s="124">
        <f t="shared" si="4"/>
        <v>7.9151931451353463E-2</v>
      </c>
    </row>
    <row r="16" spans="1:26" x14ac:dyDescent="0.2">
      <c r="A16" s="114" t="str">
        <f>Translation!$A220</f>
        <v>0.80% – 0.99%</v>
      </c>
      <c r="B16" s="30">
        <v>86</v>
      </c>
      <c r="C16" s="6">
        <v>834292</v>
      </c>
      <c r="D16" s="6">
        <v>16187</v>
      </c>
      <c r="E16" s="150">
        <v>63609.762999999999</v>
      </c>
      <c r="F16" s="31">
        <f t="shared" si="0"/>
        <v>7.0420262730377256E-2</v>
      </c>
      <c r="G16" s="41">
        <v>92</v>
      </c>
      <c r="H16" s="42">
        <v>761251</v>
      </c>
      <c r="I16" s="42">
        <v>4484</v>
      </c>
      <c r="J16" s="160">
        <v>67319.443000000014</v>
      </c>
      <c r="K16" s="44">
        <f t="shared" si="1"/>
        <v>7.8272493497727968E-2</v>
      </c>
      <c r="L16" s="76">
        <v>110</v>
      </c>
      <c r="M16" s="122">
        <v>747811</v>
      </c>
      <c r="N16" s="122">
        <v>9536</v>
      </c>
      <c r="O16" s="167">
        <v>64914.44</v>
      </c>
      <c r="P16" s="124">
        <f t="shared" si="2"/>
        <v>7.8853350372622602E-2</v>
      </c>
      <c r="Q16" s="76">
        <v>137</v>
      </c>
      <c r="R16" s="122">
        <v>935386</v>
      </c>
      <c r="S16" s="122">
        <v>9164</v>
      </c>
      <c r="T16" s="167">
        <v>81969.55</v>
      </c>
      <c r="U16" s="124">
        <f t="shared" si="3"/>
        <v>0.10194824387464704</v>
      </c>
      <c r="V16" s="76">
        <v>126</v>
      </c>
      <c r="W16" s="122">
        <v>349891</v>
      </c>
      <c r="X16" s="122">
        <v>16797</v>
      </c>
      <c r="Y16" s="167">
        <v>28850.745999999999</v>
      </c>
      <c r="Z16" s="124">
        <f t="shared" si="4"/>
        <v>3.8702205211399561E-2</v>
      </c>
    </row>
    <row r="17" spans="1:26" ht="12.75" customHeight="1" x14ac:dyDescent="0.2">
      <c r="A17" s="110" t="str">
        <f>Translation!$A221</f>
        <v>1.00% oder mehr</v>
      </c>
      <c r="B17" s="30">
        <v>163</v>
      </c>
      <c r="C17" s="6">
        <v>317677</v>
      </c>
      <c r="D17" s="6">
        <v>11714</v>
      </c>
      <c r="E17" s="150">
        <v>15634.818000000001</v>
      </c>
      <c r="F17" s="31">
        <f t="shared" si="0"/>
        <v>1.7308789396081093E-2</v>
      </c>
      <c r="G17" s="41">
        <v>172</v>
      </c>
      <c r="H17" s="42">
        <v>485007</v>
      </c>
      <c r="I17" s="42">
        <v>23015</v>
      </c>
      <c r="J17" s="160">
        <v>22325.839</v>
      </c>
      <c r="K17" s="44">
        <f t="shared" si="1"/>
        <v>2.5958311745966484E-2</v>
      </c>
      <c r="L17" s="76">
        <v>194</v>
      </c>
      <c r="M17" s="122">
        <v>517423</v>
      </c>
      <c r="N17" s="122">
        <v>24530</v>
      </c>
      <c r="O17" s="167">
        <v>24099.901999999998</v>
      </c>
      <c r="P17" s="124">
        <f t="shared" si="2"/>
        <v>2.9274811834652938E-2</v>
      </c>
      <c r="Q17" s="76">
        <v>206</v>
      </c>
      <c r="R17" s="122">
        <v>488594</v>
      </c>
      <c r="S17" s="122">
        <v>24117</v>
      </c>
      <c r="T17" s="167">
        <v>22970.332000000002</v>
      </c>
      <c r="U17" s="124">
        <f t="shared" si="3"/>
        <v>2.856896260401099E-2</v>
      </c>
      <c r="V17" s="76">
        <v>222</v>
      </c>
      <c r="W17" s="122">
        <v>1024254</v>
      </c>
      <c r="X17" s="122">
        <v>87909</v>
      </c>
      <c r="Y17" s="167">
        <v>18217.27</v>
      </c>
      <c r="Z17" s="124">
        <f t="shared" si="4"/>
        <v>2.4437791727516263E-2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823229.95400000014</v>
      </c>
      <c r="P36" s="127">
        <f>SUM(P$12:P$35)</f>
        <v>0.99999999999999989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804031.01500000013</v>
      </c>
      <c r="U36" s="127">
        <f>SUM(U$12:U$35)</f>
        <v>0.99999999999999989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0.00% – 0.19%</v>
      </c>
      <c r="B52" s="33">
        <v>291</v>
      </c>
      <c r="C52" s="8">
        <v>575340</v>
      </c>
      <c r="D52" s="8">
        <v>323027</v>
      </c>
      <c r="E52" s="152">
        <v>274176.28000000003</v>
      </c>
      <c r="F52" s="34">
        <f t="shared" ref="F52:F57" si="10">E52/E$76</f>
        <v>0.35640743533557878</v>
      </c>
      <c r="G52" s="47">
        <v>293</v>
      </c>
      <c r="H52" s="48">
        <v>545278</v>
      </c>
      <c r="I52" s="48">
        <v>306676</v>
      </c>
      <c r="J52" s="162">
        <v>256429.215</v>
      </c>
      <c r="K52" s="50">
        <f t="shared" ref="K52:K57" si="11">J52/J$76</f>
        <v>0.34993654233525945</v>
      </c>
      <c r="L52" s="128">
        <v>288</v>
      </c>
      <c r="M52" s="129">
        <v>539310</v>
      </c>
      <c r="N52" s="129">
        <v>307961</v>
      </c>
      <c r="O52" s="169">
        <v>245890.29800000001</v>
      </c>
      <c r="P52" s="131">
        <f t="shared" ref="P52:P57" si="12">O52/O$76</f>
        <v>0.34928494934625065</v>
      </c>
      <c r="Q52" s="128">
        <v>285</v>
      </c>
      <c r="R52" s="129">
        <v>505995</v>
      </c>
      <c r="S52" s="129">
        <v>284235</v>
      </c>
      <c r="T52" s="169">
        <v>225975.087</v>
      </c>
      <c r="U52" s="131">
        <f t="shared" ref="U52:U57" si="13">T52/T$76</f>
        <v>0.3329381648472215</v>
      </c>
      <c r="V52" s="128">
        <v>302</v>
      </c>
      <c r="W52" s="129">
        <v>463138</v>
      </c>
      <c r="X52" s="129">
        <v>261751</v>
      </c>
      <c r="Y52" s="169">
        <v>229510.74299999999</v>
      </c>
      <c r="Z52" s="131">
        <f t="shared" ref="Z52:Z57" si="14">Y52/Y$76</f>
        <v>0.3721844252620255</v>
      </c>
    </row>
    <row r="53" spans="1:26" x14ac:dyDescent="0.2">
      <c r="A53" s="114" t="str">
        <f>$A$13</f>
        <v>0.20% – 0.39%</v>
      </c>
      <c r="B53" s="33">
        <v>562</v>
      </c>
      <c r="C53" s="8">
        <v>776277</v>
      </c>
      <c r="D53" s="8">
        <v>278513</v>
      </c>
      <c r="E53" s="152">
        <v>245277.84099999999</v>
      </c>
      <c r="F53" s="34">
        <f t="shared" si="10"/>
        <v>0.31884175485734162</v>
      </c>
      <c r="G53" s="47">
        <v>549</v>
      </c>
      <c r="H53" s="48">
        <v>732099</v>
      </c>
      <c r="I53" s="48">
        <v>278719</v>
      </c>
      <c r="J53" s="162">
        <v>234537.65299999999</v>
      </c>
      <c r="K53" s="50">
        <f t="shared" si="11"/>
        <v>0.32006218690115668</v>
      </c>
      <c r="L53" s="128">
        <v>533</v>
      </c>
      <c r="M53" s="129">
        <v>735592</v>
      </c>
      <c r="N53" s="129">
        <v>261374</v>
      </c>
      <c r="O53" s="169">
        <v>221030.378</v>
      </c>
      <c r="P53" s="131">
        <f t="shared" si="12"/>
        <v>0.31397165732709242</v>
      </c>
      <c r="Q53" s="128">
        <v>535</v>
      </c>
      <c r="R53" s="129">
        <v>723392</v>
      </c>
      <c r="S53" s="129">
        <v>267208</v>
      </c>
      <c r="T53" s="169">
        <v>215806.196</v>
      </c>
      <c r="U53" s="131">
        <f t="shared" si="13"/>
        <v>0.31795592962378105</v>
      </c>
      <c r="V53" s="128">
        <v>535</v>
      </c>
      <c r="W53" s="129">
        <v>718218</v>
      </c>
      <c r="X53" s="129">
        <v>280327</v>
      </c>
      <c r="Y53" s="169">
        <v>214309.99100000001</v>
      </c>
      <c r="Z53" s="131">
        <f t="shared" si="14"/>
        <v>0.34753423646162335</v>
      </c>
    </row>
    <row r="54" spans="1:26" x14ac:dyDescent="0.2">
      <c r="A54" s="114" t="str">
        <f>$A$14</f>
        <v>0.40% – 0.59%</v>
      </c>
      <c r="B54" s="33">
        <v>345</v>
      </c>
      <c r="C54" s="8">
        <v>652782</v>
      </c>
      <c r="D54" s="8">
        <v>103506</v>
      </c>
      <c r="E54" s="152">
        <v>98901.266000000003</v>
      </c>
      <c r="F54" s="34">
        <f t="shared" si="10"/>
        <v>0.12856380780460611</v>
      </c>
      <c r="G54" s="47">
        <v>345</v>
      </c>
      <c r="H54" s="48">
        <v>612477</v>
      </c>
      <c r="I54" s="48">
        <v>94011</v>
      </c>
      <c r="J54" s="162">
        <v>91371.205000000002</v>
      </c>
      <c r="K54" s="50">
        <f t="shared" si="11"/>
        <v>0.12468986245075926</v>
      </c>
      <c r="L54" s="128">
        <v>380</v>
      </c>
      <c r="M54" s="129">
        <v>486443</v>
      </c>
      <c r="N54" s="129">
        <v>83088</v>
      </c>
      <c r="O54" s="169">
        <v>75725.501000000004</v>
      </c>
      <c r="P54" s="131">
        <f t="shared" si="12"/>
        <v>0.10756739080858105</v>
      </c>
      <c r="Q54" s="128">
        <v>402</v>
      </c>
      <c r="R54" s="129">
        <v>497523</v>
      </c>
      <c r="S54" s="129">
        <v>76046</v>
      </c>
      <c r="T54" s="169">
        <v>80538.403999999995</v>
      </c>
      <c r="U54" s="131">
        <f t="shared" si="13"/>
        <v>0.1186604629008689</v>
      </c>
      <c r="V54" s="128">
        <v>406</v>
      </c>
      <c r="W54" s="129">
        <v>430036</v>
      </c>
      <c r="X54" s="129">
        <v>64230</v>
      </c>
      <c r="Y54" s="169">
        <v>66797.297000000006</v>
      </c>
      <c r="Z54" s="131">
        <f t="shared" si="14"/>
        <v>0.10832135031257262</v>
      </c>
    </row>
    <row r="55" spans="1:26" x14ac:dyDescent="0.2">
      <c r="A55" s="114" t="str">
        <f>$A$15</f>
        <v>0.60% – 0.79%</v>
      </c>
      <c r="B55" s="33">
        <v>170</v>
      </c>
      <c r="C55" s="8">
        <v>694281</v>
      </c>
      <c r="D55" s="8">
        <v>28479</v>
      </c>
      <c r="E55" s="152">
        <v>71707.388000000006</v>
      </c>
      <c r="F55" s="34">
        <f t="shared" si="10"/>
        <v>9.3213921538702241E-2</v>
      </c>
      <c r="G55" s="47">
        <v>193</v>
      </c>
      <c r="H55" s="48">
        <v>592396</v>
      </c>
      <c r="I55" s="48">
        <v>31941</v>
      </c>
      <c r="J55" s="162">
        <v>60834.277999999998</v>
      </c>
      <c r="K55" s="50">
        <f t="shared" si="11"/>
        <v>8.3017595708749267E-2</v>
      </c>
      <c r="L55" s="128">
        <v>201</v>
      </c>
      <c r="M55" s="129">
        <v>703625</v>
      </c>
      <c r="N55" s="129">
        <v>48396</v>
      </c>
      <c r="O55" s="169">
        <v>72350.032999999996</v>
      </c>
      <c r="P55" s="131">
        <f t="shared" si="12"/>
        <v>0.10277256897547281</v>
      </c>
      <c r="Q55" s="128">
        <v>238</v>
      </c>
      <c r="R55" s="129">
        <v>514157</v>
      </c>
      <c r="S55" s="129">
        <v>54244</v>
      </c>
      <c r="T55" s="169">
        <v>51497.332000000002</v>
      </c>
      <c r="U55" s="131">
        <f t="shared" si="13"/>
        <v>7.5873086003538509E-2</v>
      </c>
      <c r="V55" s="128">
        <v>257</v>
      </c>
      <c r="W55" s="129">
        <v>589491</v>
      </c>
      <c r="X55" s="129">
        <v>72715</v>
      </c>
      <c r="Y55" s="169">
        <v>58998.292000000001</v>
      </c>
      <c r="Z55" s="131">
        <f t="shared" si="14"/>
        <v>9.5674150640787908E-2</v>
      </c>
    </row>
    <row r="56" spans="1:26" x14ac:dyDescent="0.2">
      <c r="A56" s="114" t="str">
        <f>$A$16</f>
        <v>0.80% – 0.99%</v>
      </c>
      <c r="B56" s="33">
        <v>86</v>
      </c>
      <c r="C56" s="8">
        <v>834292</v>
      </c>
      <c r="D56" s="8">
        <v>16187</v>
      </c>
      <c r="E56" s="152">
        <v>63609.762999999999</v>
      </c>
      <c r="F56" s="34">
        <f t="shared" si="10"/>
        <v>8.2687650781219979E-2</v>
      </c>
      <c r="G56" s="47">
        <v>91</v>
      </c>
      <c r="H56" s="48">
        <v>760797</v>
      </c>
      <c r="I56" s="48">
        <v>4365</v>
      </c>
      <c r="J56" s="162">
        <v>67289.570000000007</v>
      </c>
      <c r="K56" s="50">
        <f t="shared" si="11"/>
        <v>9.1826820360645753E-2</v>
      </c>
      <c r="L56" s="128">
        <v>109</v>
      </c>
      <c r="M56" s="129">
        <v>747419</v>
      </c>
      <c r="N56" s="129">
        <v>9418</v>
      </c>
      <c r="O56" s="169">
        <v>64885.832999999999</v>
      </c>
      <c r="P56" s="131">
        <f t="shared" si="12"/>
        <v>9.2169740233891947E-2</v>
      </c>
      <c r="Q56" s="128">
        <v>137</v>
      </c>
      <c r="R56" s="129">
        <v>935386</v>
      </c>
      <c r="S56" s="129">
        <v>9164</v>
      </c>
      <c r="T56" s="169">
        <v>81969.55</v>
      </c>
      <c r="U56" s="131">
        <f t="shared" si="13"/>
        <v>0.12076902773956037</v>
      </c>
      <c r="V56" s="128">
        <v>126</v>
      </c>
      <c r="W56" s="129">
        <v>349891</v>
      </c>
      <c r="X56" s="129">
        <v>16797</v>
      </c>
      <c r="Y56" s="169">
        <v>28850.745999999999</v>
      </c>
      <c r="Z56" s="131">
        <f t="shared" si="14"/>
        <v>4.6785602181553136E-2</v>
      </c>
    </row>
    <row r="57" spans="1:26" ht="12.75" customHeight="1" x14ac:dyDescent="0.2">
      <c r="A57" s="114" t="str">
        <f>$A$17</f>
        <v>1.00% oder mehr</v>
      </c>
      <c r="B57" s="33">
        <v>162</v>
      </c>
      <c r="C57" s="8">
        <v>317217</v>
      </c>
      <c r="D57" s="8">
        <v>11595</v>
      </c>
      <c r="E57" s="152">
        <v>15605.128000000001</v>
      </c>
      <c r="F57" s="34">
        <f t="shared" si="10"/>
        <v>2.0285429682551055E-2</v>
      </c>
      <c r="G57" s="47">
        <v>172</v>
      </c>
      <c r="H57" s="48">
        <v>485007</v>
      </c>
      <c r="I57" s="48">
        <v>23015</v>
      </c>
      <c r="J57" s="162">
        <v>22325.839</v>
      </c>
      <c r="K57" s="50">
        <f t="shared" si="11"/>
        <v>3.046699224342939E-2</v>
      </c>
      <c r="L57" s="128">
        <v>194</v>
      </c>
      <c r="M57" s="129">
        <v>517423</v>
      </c>
      <c r="N57" s="129">
        <v>24530</v>
      </c>
      <c r="O57" s="169">
        <v>24099.901999999998</v>
      </c>
      <c r="P57" s="131">
        <f t="shared" si="12"/>
        <v>3.4233693308711205E-2</v>
      </c>
      <c r="Q57" s="128">
        <v>205</v>
      </c>
      <c r="R57" s="129">
        <v>488204</v>
      </c>
      <c r="S57" s="129">
        <v>24009</v>
      </c>
      <c r="T57" s="169">
        <v>22943.33</v>
      </c>
      <c r="U57" s="131">
        <f t="shared" si="13"/>
        <v>3.3803328885029717E-2</v>
      </c>
      <c r="V57" s="128">
        <v>221</v>
      </c>
      <c r="W57" s="129">
        <v>1023858</v>
      </c>
      <c r="X57" s="129">
        <v>87807</v>
      </c>
      <c r="Y57" s="169">
        <v>18191.575000000001</v>
      </c>
      <c r="Z57" s="131">
        <f t="shared" si="14"/>
        <v>2.9500235141437507E-2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769277.6660000002</v>
      </c>
      <c r="F76" s="67">
        <f t="shared" ref="F76" si="15">SUM(F$52:F$75)</f>
        <v>0.99999999999999978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732787.76000000013</v>
      </c>
      <c r="K76" s="69">
        <f t="shared" ref="K76" si="16">SUM(K$52:K$75)</f>
        <v>0.99999999999999978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0.99999999999999989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0.00% – 0.19%</v>
      </c>
      <c r="B92" s="36">
        <v>15</v>
      </c>
      <c r="C92" s="10">
        <v>213974</v>
      </c>
      <c r="D92" s="10">
        <v>111457</v>
      </c>
      <c r="E92" s="154">
        <v>97579.596000000005</v>
      </c>
      <c r="F92" s="37">
        <f t="shared" ref="F92:F97" si="19">E92/E$116</f>
        <v>0.72815096490065756</v>
      </c>
      <c r="G92" s="53">
        <v>15</v>
      </c>
      <c r="H92" s="54">
        <v>210491</v>
      </c>
      <c r="I92" s="54">
        <v>108070</v>
      </c>
      <c r="J92" s="164">
        <v>92733.207999999999</v>
      </c>
      <c r="K92" s="56">
        <f t="shared" ref="K92:K97" si="20">J92/J$116</f>
        <v>0.728591433360676</v>
      </c>
      <c r="L92" s="136">
        <v>13</v>
      </c>
      <c r="M92" s="137">
        <v>125016</v>
      </c>
      <c r="N92" s="137">
        <v>65549</v>
      </c>
      <c r="O92" s="171">
        <v>53840.207999999999</v>
      </c>
      <c r="P92" s="139">
        <f t="shared" ref="P92:P97" si="21">O92/O$116</f>
        <v>0.45149775205051851</v>
      </c>
      <c r="Q92" s="136">
        <v>16</v>
      </c>
      <c r="R92" s="137">
        <v>120342</v>
      </c>
      <c r="S92" s="137">
        <v>62437</v>
      </c>
      <c r="T92" s="171">
        <v>51875.798999999999</v>
      </c>
      <c r="U92" s="139">
        <f t="shared" ref="U92:U97" si="22">T92/T$116</f>
        <v>0.41400907394950898</v>
      </c>
      <c r="V92" s="136">
        <v>18</v>
      </c>
      <c r="W92" s="137">
        <v>137608</v>
      </c>
      <c r="X92" s="137">
        <v>72275</v>
      </c>
      <c r="Y92" s="171">
        <v>59520.106</v>
      </c>
      <c r="Z92" s="139">
        <f t="shared" ref="Z92:Z97" si="23">Y92/Y$116</f>
        <v>0.46212629067578559</v>
      </c>
    </row>
    <row r="93" spans="1:26" x14ac:dyDescent="0.2">
      <c r="A93" s="114" t="str">
        <f>$A$13</f>
        <v>0.20% – 0.39%</v>
      </c>
      <c r="B93" s="36">
        <v>22</v>
      </c>
      <c r="C93" s="10">
        <v>111289</v>
      </c>
      <c r="D93" s="10">
        <v>44608</v>
      </c>
      <c r="E93" s="154">
        <v>36400.830999999998</v>
      </c>
      <c r="F93" s="37">
        <f t="shared" si="19"/>
        <v>0.27162748466222142</v>
      </c>
      <c r="G93" s="53">
        <v>21</v>
      </c>
      <c r="H93" s="54">
        <v>110062</v>
      </c>
      <c r="I93" s="54">
        <v>41520</v>
      </c>
      <c r="J93" s="164">
        <v>34359.538</v>
      </c>
      <c r="K93" s="56">
        <f t="shared" si="20"/>
        <v>0.26995793180184829</v>
      </c>
      <c r="L93" s="136">
        <v>23</v>
      </c>
      <c r="M93" s="137">
        <v>182871</v>
      </c>
      <c r="N93" s="137">
        <v>78145</v>
      </c>
      <c r="O93" s="171">
        <v>65372.703999999998</v>
      </c>
      <c r="P93" s="139">
        <f t="shared" si="21"/>
        <v>0.54820792857011136</v>
      </c>
      <c r="Q93" s="136">
        <v>26</v>
      </c>
      <c r="R93" s="137">
        <v>218648</v>
      </c>
      <c r="S93" s="137">
        <v>91367</v>
      </c>
      <c r="T93" s="171">
        <v>73398.315000000002</v>
      </c>
      <c r="U93" s="139">
        <f t="shared" si="22"/>
        <v>0.58577542916696768</v>
      </c>
      <c r="V93" s="136">
        <v>38</v>
      </c>
      <c r="W93" s="137">
        <v>220053</v>
      </c>
      <c r="X93" s="137">
        <v>87308</v>
      </c>
      <c r="Y93" s="171">
        <v>69244.491999999998</v>
      </c>
      <c r="Z93" s="139">
        <f t="shared" si="23"/>
        <v>0.53762841480304335</v>
      </c>
    </row>
    <row r="94" spans="1:26" x14ac:dyDescent="0.2">
      <c r="A94" s="114" t="str">
        <f>$A$14</f>
        <v>0.40% – 0.59%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9"/>
        <v>0</v>
      </c>
      <c r="G94" s="53">
        <v>2</v>
      </c>
      <c r="H94" s="54">
        <v>1033</v>
      </c>
      <c r="I94" s="54">
        <v>389</v>
      </c>
      <c r="J94" s="164">
        <v>154.76</v>
      </c>
      <c r="K94" s="56">
        <f t="shared" si="20"/>
        <v>1.2159269873085617E-3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21"/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22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23"/>
        <v>0</v>
      </c>
    </row>
    <row r="95" spans="1:26" x14ac:dyDescent="0.2">
      <c r="A95" s="114" t="str">
        <f>$A$15</f>
        <v>0.60% – 0.79%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9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20"/>
        <v>0</v>
      </c>
      <c r="L95" s="136">
        <v>1</v>
      </c>
      <c r="M95" s="137">
        <v>64</v>
      </c>
      <c r="N95" s="137">
        <v>22</v>
      </c>
      <c r="O95" s="171">
        <v>6.49</v>
      </c>
      <c r="P95" s="139">
        <f t="shared" si="21"/>
        <v>5.442438875436486E-5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22"/>
        <v>0</v>
      </c>
      <c r="V95" s="136">
        <v>1</v>
      </c>
      <c r="W95" s="137">
        <v>59</v>
      </c>
      <c r="X95" s="137">
        <v>20</v>
      </c>
      <c r="Y95" s="171">
        <v>5.8979999999999997</v>
      </c>
      <c r="Z95" s="139">
        <f t="shared" si="23"/>
        <v>4.579327970964607E-5</v>
      </c>
    </row>
    <row r="96" spans="1:26" x14ac:dyDescent="0.2">
      <c r="A96" s="114" t="str">
        <f>$A$16</f>
        <v>0.80% – 0.99%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1</v>
      </c>
      <c r="H96" s="54">
        <v>454</v>
      </c>
      <c r="I96" s="54">
        <v>119</v>
      </c>
      <c r="J96" s="164">
        <v>29.873000000000001</v>
      </c>
      <c r="K96" s="56">
        <f t="shared" si="20"/>
        <v>2.3470785016715343E-4</v>
      </c>
      <c r="L96" s="136">
        <v>1</v>
      </c>
      <c r="M96" s="137">
        <v>392</v>
      </c>
      <c r="N96" s="137">
        <v>118</v>
      </c>
      <c r="O96" s="171">
        <v>28.606999999999999</v>
      </c>
      <c r="P96" s="139">
        <f t="shared" si="21"/>
        <v>2.3989499061573429E-4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12.75" customHeight="1" x14ac:dyDescent="0.2">
      <c r="A97" s="114" t="str">
        <f>$A$17</f>
        <v>1.00% oder mehr</v>
      </c>
      <c r="B97" s="36">
        <v>1</v>
      </c>
      <c r="C97" s="10">
        <v>460</v>
      </c>
      <c r="D97" s="10">
        <v>119</v>
      </c>
      <c r="E97" s="154">
        <v>29.69</v>
      </c>
      <c r="F97" s="37">
        <f t="shared" si="19"/>
        <v>2.2155043712110184E-4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0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21"/>
        <v>0</v>
      </c>
      <c r="Q97" s="136">
        <v>1</v>
      </c>
      <c r="R97" s="137">
        <v>390</v>
      </c>
      <c r="S97" s="137">
        <v>108</v>
      </c>
      <c r="T97" s="171">
        <v>27.001999999999999</v>
      </c>
      <c r="U97" s="139">
        <f t="shared" si="22"/>
        <v>2.1549688352336783E-4</v>
      </c>
      <c r="V97" s="136">
        <v>1</v>
      </c>
      <c r="W97" s="137">
        <v>396</v>
      </c>
      <c r="X97" s="137">
        <v>102</v>
      </c>
      <c r="Y97" s="171">
        <v>25.695</v>
      </c>
      <c r="Z97" s="139">
        <f t="shared" si="23"/>
        <v>1.9950124146140316E-4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0">
    <pageSetUpPr fitToPage="1"/>
  </sheetPr>
  <dimension ref="A1:Y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4" width="11" style="1"/>
    <col min="25" max="25" width="11" style="166"/>
    <col min="26" max="16384" width="11" style="1"/>
  </cols>
  <sheetData>
    <row r="1" spans="1:25" s="22" customFormat="1" ht="18" x14ac:dyDescent="0.25">
      <c r="A1" s="109" t="str">
        <f>Translation!$A$222</f>
        <v>Anteil der BVG-Altersguthaben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Y1" s="157"/>
    </row>
    <row r="2" spans="1:25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Y2" s="158"/>
    </row>
    <row r="3" spans="1:25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Y3" s="158"/>
    </row>
    <row r="4" spans="1:25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Y4" s="158"/>
    </row>
    <row r="5" spans="1:25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Y5" s="159"/>
    </row>
    <row r="6" spans="1:25" x14ac:dyDescent="0.2">
      <c r="M6" s="75"/>
      <c r="N6" s="75"/>
      <c r="R6" s="75"/>
      <c r="S6" s="75"/>
    </row>
    <row r="7" spans="1:25" ht="12.75" hidden="1" customHeight="1" x14ac:dyDescent="0.2">
      <c r="M7" s="75"/>
      <c r="N7" s="75"/>
      <c r="R7" s="75"/>
      <c r="S7" s="75"/>
    </row>
    <row r="8" spans="1:25" ht="12.75" hidden="1" customHeight="1" x14ac:dyDescent="0.2">
      <c r="M8" s="75"/>
      <c r="N8" s="75"/>
      <c r="R8" s="75"/>
      <c r="S8" s="75"/>
    </row>
    <row r="9" spans="1:25" ht="12.75" hidden="1" customHeight="1" x14ac:dyDescent="0.2">
      <c r="M9" s="75"/>
      <c r="N9" s="75"/>
      <c r="R9" s="75"/>
      <c r="S9" s="75"/>
    </row>
    <row r="10" spans="1:25" x14ac:dyDescent="0.2">
      <c r="M10" s="75"/>
      <c r="N10" s="75"/>
      <c r="R10" s="75"/>
      <c r="S10" s="75"/>
    </row>
    <row r="11" spans="1:25" x14ac:dyDescent="0.2">
      <c r="A11" s="113" t="str">
        <f>Translation!$A$29</f>
        <v>alle Vorsorgeeinrichtungen</v>
      </c>
      <c r="E11" s="156"/>
      <c r="O11" s="156"/>
      <c r="T11" s="156"/>
    </row>
    <row r="12" spans="1:25" x14ac:dyDescent="0.2">
      <c r="A12" s="114" t="str">
        <f>Translation!$A246</f>
        <v>nicht definiert</v>
      </c>
      <c r="B12" s="30">
        <v>64</v>
      </c>
      <c r="C12" s="6">
        <v>1281</v>
      </c>
      <c r="D12" s="6">
        <v>10750</v>
      </c>
      <c r="E12" s="150">
        <v>4018.22</v>
      </c>
      <c r="F12" s="31">
        <f t="shared" ref="F12:F18" si="0">E12/E$36</f>
        <v>4.4484383334120652E-3</v>
      </c>
      <c r="G12" s="41">
        <v>70</v>
      </c>
      <c r="H12" s="42">
        <v>1637</v>
      </c>
      <c r="I12" s="42">
        <v>9976</v>
      </c>
      <c r="J12" s="160">
        <v>3650.5230000000001</v>
      </c>
      <c r="K12" s="44">
        <f t="shared" ref="K12:K18" si="1">J12/J$36</f>
        <v>4.244472696852325E-3</v>
      </c>
      <c r="L12" s="76">
        <v>85</v>
      </c>
      <c r="M12" s="122">
        <v>1901</v>
      </c>
      <c r="N12" s="122">
        <v>10607</v>
      </c>
      <c r="O12" s="167">
        <v>3677.6080000000002</v>
      </c>
      <c r="P12" s="124">
        <f t="shared" ref="P12:P18" si="2">O12/O$36</f>
        <v>4.467291286147734E-3</v>
      </c>
      <c r="Q12" s="76">
        <v>88</v>
      </c>
      <c r="R12" s="122">
        <v>1199</v>
      </c>
      <c r="S12" s="122">
        <v>7839</v>
      </c>
      <c r="T12" s="167">
        <v>3259.96</v>
      </c>
      <c r="U12" s="124">
        <f t="shared" ref="U12:U18" si="3">T12/T$36</f>
        <v>4.0545202102682575E-3</v>
      </c>
    </row>
    <row r="13" spans="1:25" x14ac:dyDescent="0.2">
      <c r="A13" s="114" t="str">
        <f>Translation!$A247</f>
        <v>unter 20%</v>
      </c>
      <c r="B13" s="30">
        <v>334</v>
      </c>
      <c r="C13" s="6">
        <v>188219</v>
      </c>
      <c r="D13" s="6">
        <v>21515</v>
      </c>
      <c r="E13" s="150">
        <v>46306.988000000005</v>
      </c>
      <c r="F13" s="31">
        <f t="shared" si="0"/>
        <v>5.1264933359560338E-2</v>
      </c>
      <c r="G13" s="41">
        <v>345</v>
      </c>
      <c r="H13" s="42">
        <v>154297</v>
      </c>
      <c r="I13" s="42">
        <v>22167</v>
      </c>
      <c r="J13" s="160">
        <v>40333.919000000002</v>
      </c>
      <c r="K13" s="44">
        <f t="shared" si="1"/>
        <v>4.6896353742341364E-2</v>
      </c>
      <c r="L13" s="76">
        <v>362</v>
      </c>
      <c r="M13" s="122">
        <v>181751</v>
      </c>
      <c r="N13" s="122">
        <v>21685</v>
      </c>
      <c r="O13" s="167">
        <v>39985.681000000004</v>
      </c>
      <c r="P13" s="124">
        <f t="shared" si="2"/>
        <v>4.8571703210886809E-2</v>
      </c>
      <c r="Q13" s="76">
        <v>379</v>
      </c>
      <c r="R13" s="122">
        <v>227473</v>
      </c>
      <c r="S13" s="122">
        <v>36514</v>
      </c>
      <c r="T13" s="167">
        <v>55604.397000000004</v>
      </c>
      <c r="U13" s="124">
        <f t="shared" si="3"/>
        <v>6.9157029968551664E-2</v>
      </c>
    </row>
    <row r="14" spans="1:25" x14ac:dyDescent="0.2">
      <c r="A14" s="114" t="str">
        <f>Translation!$A248</f>
        <v>20% – 39%</v>
      </c>
      <c r="B14" s="30">
        <v>283</v>
      </c>
      <c r="C14" s="6">
        <v>745963</v>
      </c>
      <c r="D14" s="6">
        <v>338301</v>
      </c>
      <c r="E14" s="150">
        <v>348098.75800000003</v>
      </c>
      <c r="F14" s="31">
        <f t="shared" si="0"/>
        <v>0.3853686107033289</v>
      </c>
      <c r="G14" s="41">
        <v>279</v>
      </c>
      <c r="H14" s="42">
        <v>793092</v>
      </c>
      <c r="I14" s="42">
        <v>356074</v>
      </c>
      <c r="J14" s="160">
        <v>353321.24000000005</v>
      </c>
      <c r="K14" s="44">
        <f t="shared" si="1"/>
        <v>0.41080753535808645</v>
      </c>
      <c r="L14" s="76">
        <v>282</v>
      </c>
      <c r="M14" s="122">
        <v>775109</v>
      </c>
      <c r="N14" s="122">
        <v>341393</v>
      </c>
      <c r="O14" s="167">
        <v>331384.53500000003</v>
      </c>
      <c r="P14" s="124">
        <f t="shared" si="2"/>
        <v>0.4025418819976514</v>
      </c>
      <c r="Q14" s="76">
        <v>280</v>
      </c>
      <c r="R14" s="122">
        <v>745169</v>
      </c>
      <c r="S14" s="122">
        <v>321871</v>
      </c>
      <c r="T14" s="167">
        <v>301963.90399999998</v>
      </c>
      <c r="U14" s="124">
        <f t="shared" si="3"/>
        <v>0.37556250737417141</v>
      </c>
    </row>
    <row r="15" spans="1:25" x14ac:dyDescent="0.2">
      <c r="A15" s="114" t="str">
        <f>Translation!$A249</f>
        <v>40% – 59%</v>
      </c>
      <c r="B15" s="30">
        <v>581</v>
      </c>
      <c r="C15" s="6">
        <v>2282632</v>
      </c>
      <c r="D15" s="6">
        <v>452994</v>
      </c>
      <c r="E15" s="150">
        <v>430607.14899999998</v>
      </c>
      <c r="F15" s="31">
        <f t="shared" si="0"/>
        <v>0.47671091882795891</v>
      </c>
      <c r="G15" s="41">
        <v>560</v>
      </c>
      <c r="H15" s="42">
        <v>2147200</v>
      </c>
      <c r="I15" s="42">
        <v>405959</v>
      </c>
      <c r="J15" s="160">
        <v>388557.67100000003</v>
      </c>
      <c r="K15" s="44">
        <f t="shared" si="1"/>
        <v>0.4517770263910208</v>
      </c>
      <c r="L15" s="76">
        <v>588</v>
      </c>
      <c r="M15" s="122">
        <v>2147012</v>
      </c>
      <c r="N15" s="122">
        <v>409440</v>
      </c>
      <c r="O15" s="167">
        <v>378946.59300000005</v>
      </c>
      <c r="P15" s="124">
        <f t="shared" si="2"/>
        <v>0.46031681811228164</v>
      </c>
      <c r="Q15" s="76">
        <v>597</v>
      </c>
      <c r="R15" s="122">
        <v>2113205</v>
      </c>
      <c r="S15" s="122">
        <v>400964</v>
      </c>
      <c r="T15" s="167">
        <v>361655.92199999996</v>
      </c>
      <c r="U15" s="124">
        <f t="shared" si="3"/>
        <v>0.44980344694787677</v>
      </c>
    </row>
    <row r="16" spans="1:25" x14ac:dyDescent="0.2">
      <c r="A16" s="114" t="str">
        <f>Translation!$A250</f>
        <v>60% – 79%</v>
      </c>
      <c r="B16" s="30">
        <v>320</v>
      </c>
      <c r="C16" s="6">
        <v>654704</v>
      </c>
      <c r="D16" s="6">
        <v>63009</v>
      </c>
      <c r="E16" s="150">
        <v>60250.095000000001</v>
      </c>
      <c r="F16" s="31">
        <f t="shared" si="0"/>
        <v>6.6700885513913788E-2</v>
      </c>
      <c r="G16" s="41">
        <v>351</v>
      </c>
      <c r="H16" s="42">
        <v>723477</v>
      </c>
      <c r="I16" s="42">
        <v>69743</v>
      </c>
      <c r="J16" s="160">
        <v>62694.665999999997</v>
      </c>
      <c r="K16" s="44">
        <f t="shared" si="1"/>
        <v>7.2895253111752961E-2</v>
      </c>
      <c r="L16" s="76">
        <v>347</v>
      </c>
      <c r="M16" s="122">
        <v>594016</v>
      </c>
      <c r="N16" s="122">
        <v>66292</v>
      </c>
      <c r="O16" s="167">
        <v>55985.703999999998</v>
      </c>
      <c r="P16" s="124">
        <f t="shared" si="2"/>
        <v>6.8007369906756321E-2</v>
      </c>
      <c r="Q16" s="76">
        <v>386</v>
      </c>
      <c r="R16" s="122">
        <v>585384</v>
      </c>
      <c r="S16" s="122">
        <v>72148</v>
      </c>
      <c r="T16" s="167">
        <v>61504.466</v>
      </c>
      <c r="U16" s="124">
        <f t="shared" si="3"/>
        <v>7.6495141173129999E-2</v>
      </c>
    </row>
    <row r="17" spans="1:21" ht="12.75" customHeight="1" x14ac:dyDescent="0.2">
      <c r="A17" s="110" t="str">
        <f>Translation!$A251</f>
        <v>80% – 99%</v>
      </c>
      <c r="B17" s="30">
        <v>58</v>
      </c>
      <c r="C17" s="6">
        <v>300666</v>
      </c>
      <c r="D17" s="6">
        <v>30465</v>
      </c>
      <c r="E17" s="150">
        <v>13724.567000000001</v>
      </c>
      <c r="F17" s="31">
        <f t="shared" si="0"/>
        <v>1.5194013755414647E-2</v>
      </c>
      <c r="G17" s="41">
        <v>59</v>
      </c>
      <c r="H17" s="42">
        <v>225986</v>
      </c>
      <c r="I17" s="42">
        <v>23774</v>
      </c>
      <c r="J17" s="160">
        <v>11098.23</v>
      </c>
      <c r="K17" s="44">
        <f t="shared" si="1"/>
        <v>1.2903941221131157E-2</v>
      </c>
      <c r="L17" s="76">
        <v>63</v>
      </c>
      <c r="M17" s="122">
        <v>335321</v>
      </c>
      <c r="N17" s="122">
        <v>28406</v>
      </c>
      <c r="O17" s="167">
        <v>12907.731999999998</v>
      </c>
      <c r="P17" s="124">
        <f t="shared" si="2"/>
        <v>1.5679376020372549E-2</v>
      </c>
      <c r="Q17" s="76">
        <v>76</v>
      </c>
      <c r="R17" s="122">
        <v>324295</v>
      </c>
      <c r="S17" s="122">
        <v>27516</v>
      </c>
      <c r="T17" s="167">
        <v>12145.759</v>
      </c>
      <c r="U17" s="124">
        <f t="shared" si="3"/>
        <v>1.5106082692593645E-2</v>
      </c>
    </row>
    <row r="18" spans="1:21" ht="12.75" customHeight="1" x14ac:dyDescent="0.2">
      <c r="A18" s="110" t="str">
        <f>Translation!$A252</f>
        <v>100%</v>
      </c>
      <c r="B18" s="30">
        <v>14</v>
      </c>
      <c r="C18" s="6">
        <v>2447</v>
      </c>
      <c r="D18" s="6">
        <v>457</v>
      </c>
      <c r="E18" s="150">
        <v>282.00599999999997</v>
      </c>
      <c r="F18" s="31">
        <f t="shared" si="0"/>
        <v>3.1219950641134703E-4</v>
      </c>
      <c r="G18" s="41">
        <v>18</v>
      </c>
      <c r="H18" s="42">
        <v>4405</v>
      </c>
      <c r="I18" s="42">
        <v>1132</v>
      </c>
      <c r="J18" s="160">
        <v>408.89</v>
      </c>
      <c r="K18" s="44">
        <f t="shared" si="1"/>
        <v>4.7541747881493888E-4</v>
      </c>
      <c r="L18" s="76">
        <v>16</v>
      </c>
      <c r="M18" s="122">
        <v>3045</v>
      </c>
      <c r="N18" s="122">
        <v>778</v>
      </c>
      <c r="O18" s="167">
        <v>342.101</v>
      </c>
      <c r="P18" s="124">
        <f t="shared" si="2"/>
        <v>4.1555946590349642E-4</v>
      </c>
      <c r="Q18" s="76">
        <v>39</v>
      </c>
      <c r="R18" s="122">
        <v>7312</v>
      </c>
      <c r="S18" s="122">
        <v>1966</v>
      </c>
      <c r="T18" s="167">
        <v>7896.607</v>
      </c>
      <c r="U18" s="124">
        <f t="shared" si="3"/>
        <v>9.8212716334083218E-3</v>
      </c>
    </row>
    <row r="19" spans="1:2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1654</v>
      </c>
      <c r="C36" s="7">
        <f t="shared" ref="C36:E36" si="4">SUM(C$12:C$35)</f>
        <v>4175912</v>
      </c>
      <c r="D36" s="7">
        <f t="shared" si="4"/>
        <v>917491</v>
      </c>
      <c r="E36" s="151">
        <f t="shared" si="4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5">SUM(H$12:H$35)</f>
        <v>4050094</v>
      </c>
      <c r="I36" s="65">
        <f t="shared" si="5"/>
        <v>888825</v>
      </c>
      <c r="J36" s="161">
        <f t="shared" si="5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6">SUM(M$12:M$35)</f>
        <v>4038155</v>
      </c>
      <c r="N36" s="125">
        <f t="shared" si="6"/>
        <v>878601</v>
      </c>
      <c r="O36" s="168">
        <f t="shared" si="6"/>
        <v>823229.95400000014</v>
      </c>
      <c r="P36" s="127">
        <f>SUM(P$12:P$35)</f>
        <v>1</v>
      </c>
      <c r="Q36" s="77">
        <f>SUM(Q$12:Q$35)</f>
        <v>1845</v>
      </c>
      <c r="R36" s="125">
        <f t="shared" ref="R36:T36" si="7">SUM(R$12:R$35)</f>
        <v>4004037</v>
      </c>
      <c r="S36" s="125">
        <f t="shared" si="7"/>
        <v>868818</v>
      </c>
      <c r="T36" s="168">
        <f t="shared" si="7"/>
        <v>804031.0149999999</v>
      </c>
      <c r="U36" s="127">
        <f>SUM(U$12:U$35)</f>
        <v>1.0000000000000002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O51" s="156"/>
      <c r="T51" s="156"/>
    </row>
    <row r="52" spans="1:21" x14ac:dyDescent="0.2">
      <c r="A52" s="114" t="str">
        <f>$A$12</f>
        <v>nicht definiert</v>
      </c>
      <c r="B52" s="33">
        <v>64</v>
      </c>
      <c r="C52" s="8">
        <v>1281</v>
      </c>
      <c r="D52" s="8">
        <v>10750</v>
      </c>
      <c r="E52" s="152">
        <v>4018.22</v>
      </c>
      <c r="F52" s="34">
        <f t="shared" ref="F52:F58" si="8">E52/E$76</f>
        <v>5.2233675532184238E-3</v>
      </c>
      <c r="G52" s="47">
        <v>70</v>
      </c>
      <c r="H52" s="48">
        <v>1637</v>
      </c>
      <c r="I52" s="48">
        <v>9976</v>
      </c>
      <c r="J52" s="162">
        <v>3650.5230000000001</v>
      </c>
      <c r="K52" s="50">
        <f t="shared" ref="K52:K58" si="9">J52/J$76</f>
        <v>4.9816921068659772E-3</v>
      </c>
      <c r="L52" s="128">
        <v>85</v>
      </c>
      <c r="M52" s="129">
        <v>1901</v>
      </c>
      <c r="N52" s="129">
        <v>10607</v>
      </c>
      <c r="O52" s="169">
        <v>3677.6080000000002</v>
      </c>
      <c r="P52" s="131">
        <f t="shared" ref="P52:P58" si="10">O52/O$76</f>
        <v>5.2240089765370331E-3</v>
      </c>
      <c r="Q52" s="128">
        <v>88</v>
      </c>
      <c r="R52" s="129">
        <v>1199</v>
      </c>
      <c r="S52" s="129">
        <v>7839</v>
      </c>
      <c r="T52" s="169">
        <v>3259.96</v>
      </c>
      <c r="U52" s="131">
        <f t="shared" ref="U52:U58" si="11">T52/T$76</f>
        <v>4.8030299015897632E-3</v>
      </c>
    </row>
    <row r="53" spans="1:21" x14ac:dyDescent="0.2">
      <c r="A53" s="114" t="str">
        <f>$A$13</f>
        <v>unter 20%</v>
      </c>
      <c r="B53" s="33">
        <v>332</v>
      </c>
      <c r="C53" s="8">
        <v>187585</v>
      </c>
      <c r="D53" s="8">
        <v>21180</v>
      </c>
      <c r="E53" s="152">
        <v>46071.226000000002</v>
      </c>
      <c r="F53" s="34">
        <f t="shared" si="8"/>
        <v>5.9888942622701856E-2</v>
      </c>
      <c r="G53" s="47">
        <v>342</v>
      </c>
      <c r="H53" s="48">
        <v>153623</v>
      </c>
      <c r="I53" s="48">
        <v>21819</v>
      </c>
      <c r="J53" s="162">
        <v>40102.542000000001</v>
      </c>
      <c r="K53" s="50">
        <f t="shared" si="9"/>
        <v>5.4725998698449879E-2</v>
      </c>
      <c r="L53" s="128">
        <v>358</v>
      </c>
      <c r="M53" s="129">
        <v>180727</v>
      </c>
      <c r="N53" s="129">
        <v>21195</v>
      </c>
      <c r="O53" s="169">
        <v>39657.353000000003</v>
      </c>
      <c r="P53" s="131">
        <f t="shared" si="10"/>
        <v>5.6332912060692124E-2</v>
      </c>
      <c r="Q53" s="128">
        <v>374</v>
      </c>
      <c r="R53" s="129">
        <v>226771</v>
      </c>
      <c r="S53" s="129">
        <v>36074</v>
      </c>
      <c r="T53" s="169">
        <v>55268.327000000005</v>
      </c>
      <c r="U53" s="131">
        <f t="shared" si="11"/>
        <v>8.1429044280249108E-2</v>
      </c>
    </row>
    <row r="54" spans="1:21" x14ac:dyDescent="0.2">
      <c r="A54" s="114" t="str">
        <f>$A$14</f>
        <v>20% – 39%</v>
      </c>
      <c r="B54" s="33">
        <v>275</v>
      </c>
      <c r="C54" s="8">
        <v>589121</v>
      </c>
      <c r="D54" s="8">
        <v>261609</v>
      </c>
      <c r="E54" s="152">
        <v>278481.21500000003</v>
      </c>
      <c r="F54" s="34">
        <f t="shared" si="8"/>
        <v>0.36200350966643041</v>
      </c>
      <c r="G54" s="47">
        <v>269</v>
      </c>
      <c r="H54" s="48">
        <v>614164</v>
      </c>
      <c r="I54" s="48">
        <v>273454</v>
      </c>
      <c r="J54" s="162">
        <v>279374.54000000004</v>
      </c>
      <c r="K54" s="50">
        <f t="shared" si="9"/>
        <v>0.38124891714894371</v>
      </c>
      <c r="L54" s="128">
        <v>272</v>
      </c>
      <c r="M54" s="129">
        <v>593284</v>
      </c>
      <c r="N54" s="129">
        <v>256421</v>
      </c>
      <c r="O54" s="169">
        <v>257798.62800000003</v>
      </c>
      <c r="P54" s="131">
        <f t="shared" si="10"/>
        <v>0.3662006246481222</v>
      </c>
      <c r="Q54" s="128">
        <v>270</v>
      </c>
      <c r="R54" s="129">
        <v>566935</v>
      </c>
      <c r="S54" s="129">
        <v>240165</v>
      </c>
      <c r="T54" s="169">
        <v>231152.51699999999</v>
      </c>
      <c r="U54" s="131">
        <f t="shared" si="11"/>
        <v>0.34056628025458474</v>
      </c>
    </row>
    <row r="55" spans="1:21" x14ac:dyDescent="0.2">
      <c r="A55" s="114" t="str">
        <f>$A$15</f>
        <v>40% – 59%</v>
      </c>
      <c r="B55" s="33">
        <v>555</v>
      </c>
      <c r="C55" s="8">
        <v>2115270</v>
      </c>
      <c r="D55" s="8">
        <v>374203</v>
      </c>
      <c r="E55" s="152">
        <v>366603.17099999997</v>
      </c>
      <c r="F55" s="34">
        <f t="shared" si="8"/>
        <v>0.47655506873899028</v>
      </c>
      <c r="G55" s="47">
        <v>536</v>
      </c>
      <c r="H55" s="48">
        <v>2005621</v>
      </c>
      <c r="I55" s="48">
        <v>339186</v>
      </c>
      <c r="J55" s="162">
        <v>335607.29300000001</v>
      </c>
      <c r="K55" s="50">
        <f t="shared" si="9"/>
        <v>0.45798703433583554</v>
      </c>
      <c r="L55" s="128">
        <v>565</v>
      </c>
      <c r="M55" s="129">
        <v>2021910</v>
      </c>
      <c r="N55" s="129">
        <v>351186</v>
      </c>
      <c r="O55" s="169">
        <v>333641.42600000004</v>
      </c>
      <c r="P55" s="131">
        <f t="shared" si="10"/>
        <v>0.4739346347866919</v>
      </c>
      <c r="Q55" s="128">
        <v>574</v>
      </c>
      <c r="R55" s="129">
        <v>1955300</v>
      </c>
      <c r="S55" s="129">
        <v>330446</v>
      </c>
      <c r="T55" s="169">
        <v>308242.86699999997</v>
      </c>
      <c r="U55" s="131">
        <f t="shared" si="11"/>
        <v>0.4541465868147942</v>
      </c>
    </row>
    <row r="56" spans="1:21" x14ac:dyDescent="0.2">
      <c r="A56" s="114" t="str">
        <f>$A$16</f>
        <v>60% – 79%</v>
      </c>
      <c r="B56" s="33">
        <v>318</v>
      </c>
      <c r="C56" s="8">
        <v>653819</v>
      </c>
      <c r="D56" s="8">
        <v>62643</v>
      </c>
      <c r="E56" s="152">
        <v>60097.260999999999</v>
      </c>
      <c r="F56" s="34">
        <f t="shared" si="8"/>
        <v>7.8121676549491814E-2</v>
      </c>
      <c r="G56" s="47">
        <v>349</v>
      </c>
      <c r="H56" s="48">
        <v>722618</v>
      </c>
      <c r="I56" s="48">
        <v>69386</v>
      </c>
      <c r="J56" s="162">
        <v>62545.741999999998</v>
      </c>
      <c r="K56" s="50">
        <f t="shared" si="9"/>
        <v>8.5353147820045466E-2</v>
      </c>
      <c r="L56" s="128">
        <v>346</v>
      </c>
      <c r="M56" s="129">
        <v>593624</v>
      </c>
      <c r="N56" s="129">
        <v>66174</v>
      </c>
      <c r="O56" s="169">
        <v>55957.096999999994</v>
      </c>
      <c r="P56" s="131">
        <f t="shared" si="10"/>
        <v>7.9486551320573987E-2</v>
      </c>
      <c r="Q56" s="128">
        <v>382</v>
      </c>
      <c r="R56" s="129">
        <v>583803</v>
      </c>
      <c r="S56" s="129">
        <v>71373</v>
      </c>
      <c r="T56" s="169">
        <v>61049.349000000002</v>
      </c>
      <c r="U56" s="131">
        <f t="shared" si="11"/>
        <v>8.9946456005469133E-2</v>
      </c>
    </row>
    <row r="57" spans="1:21" ht="12.75" customHeight="1" x14ac:dyDescent="0.2">
      <c r="A57" s="114" t="str">
        <f>$A$17</f>
        <v>80% – 99%</v>
      </c>
      <c r="B57" s="33">
        <v>58</v>
      </c>
      <c r="C57" s="8">
        <v>300666</v>
      </c>
      <c r="D57" s="8">
        <v>30465</v>
      </c>
      <c r="E57" s="152">
        <v>13724.567000000001</v>
      </c>
      <c r="F57" s="34">
        <f t="shared" si="8"/>
        <v>1.7840849418342533E-2</v>
      </c>
      <c r="G57" s="47">
        <v>59</v>
      </c>
      <c r="H57" s="48">
        <v>225986</v>
      </c>
      <c r="I57" s="48">
        <v>23774</v>
      </c>
      <c r="J57" s="162">
        <v>11098.23</v>
      </c>
      <c r="K57" s="50">
        <f t="shared" si="9"/>
        <v>1.5145217491078181E-2</v>
      </c>
      <c r="L57" s="128">
        <v>63</v>
      </c>
      <c r="M57" s="129">
        <v>335321</v>
      </c>
      <c r="N57" s="129">
        <v>28406</v>
      </c>
      <c r="O57" s="169">
        <v>12907.731999999998</v>
      </c>
      <c r="P57" s="131">
        <f t="shared" si="10"/>
        <v>1.8335316824069966E-2</v>
      </c>
      <c r="Q57" s="128">
        <v>75</v>
      </c>
      <c r="R57" s="129">
        <v>323337</v>
      </c>
      <c r="S57" s="129">
        <v>27043</v>
      </c>
      <c r="T57" s="169">
        <v>11860.272000000001</v>
      </c>
      <c r="U57" s="131">
        <f t="shared" si="11"/>
        <v>1.7474214731772117E-2</v>
      </c>
    </row>
    <row r="58" spans="1:21" ht="12.75" customHeight="1" x14ac:dyDescent="0.2">
      <c r="A58" s="114" t="str">
        <f>$A$18</f>
        <v>100%</v>
      </c>
      <c r="B58" s="33">
        <v>14</v>
      </c>
      <c r="C58" s="8">
        <v>2447</v>
      </c>
      <c r="D58" s="8">
        <v>457</v>
      </c>
      <c r="E58" s="152">
        <v>282.00599999999997</v>
      </c>
      <c r="F58" s="34">
        <f t="shared" si="8"/>
        <v>3.6658545082472206E-4</v>
      </c>
      <c r="G58" s="47">
        <v>18</v>
      </c>
      <c r="H58" s="48">
        <v>4405</v>
      </c>
      <c r="I58" s="48">
        <v>1132</v>
      </c>
      <c r="J58" s="162">
        <v>408.89</v>
      </c>
      <c r="K58" s="50">
        <f t="shared" si="9"/>
        <v>5.5799239878133336E-4</v>
      </c>
      <c r="L58" s="128">
        <v>16</v>
      </c>
      <c r="M58" s="129">
        <v>3045</v>
      </c>
      <c r="N58" s="129">
        <v>778</v>
      </c>
      <c r="O58" s="169">
        <v>342.101</v>
      </c>
      <c r="P58" s="131">
        <f t="shared" si="10"/>
        <v>4.8595138331282059E-4</v>
      </c>
      <c r="Q58" s="128">
        <v>39</v>
      </c>
      <c r="R58" s="129">
        <v>7312</v>
      </c>
      <c r="S58" s="129">
        <v>1966</v>
      </c>
      <c r="T58" s="169">
        <v>7896.607</v>
      </c>
      <c r="U58" s="131">
        <f t="shared" si="11"/>
        <v>1.1634388011540951E-2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2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3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4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" si="15"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O91" s="156"/>
      <c r="T91" s="156"/>
    </row>
    <row r="92" spans="1:2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7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8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9">T92/T$116</f>
        <v>0</v>
      </c>
    </row>
    <row r="93" spans="1:21" x14ac:dyDescent="0.2">
      <c r="A93" s="114" t="str">
        <f>$A$13</f>
        <v>unter 20%</v>
      </c>
      <c r="B93" s="36">
        <v>2</v>
      </c>
      <c r="C93" s="10">
        <v>634</v>
      </c>
      <c r="D93" s="10">
        <v>335</v>
      </c>
      <c r="E93" s="154">
        <v>235.762</v>
      </c>
      <c r="F93" s="37">
        <f t="shared" si="16"/>
        <v>1.7592850844238871E-3</v>
      </c>
      <c r="G93" s="53">
        <v>3</v>
      </c>
      <c r="H93" s="54">
        <v>674</v>
      </c>
      <c r="I93" s="54">
        <v>348</v>
      </c>
      <c r="J93" s="164">
        <v>231.37700000000001</v>
      </c>
      <c r="K93" s="56">
        <f t="shared" si="17"/>
        <v>1.8178957000678025E-3</v>
      </c>
      <c r="L93" s="136">
        <v>4</v>
      </c>
      <c r="M93" s="137">
        <v>1024</v>
      </c>
      <c r="N93" s="137">
        <v>490</v>
      </c>
      <c r="O93" s="171">
        <v>328.32799999999997</v>
      </c>
      <c r="P93" s="139">
        <f t="shared" si="18"/>
        <v>2.7533206026106477E-3</v>
      </c>
      <c r="Q93" s="136">
        <v>5</v>
      </c>
      <c r="R93" s="137">
        <v>702</v>
      </c>
      <c r="S93" s="137">
        <v>440</v>
      </c>
      <c r="T93" s="171">
        <v>336.07</v>
      </c>
      <c r="U93" s="139">
        <f t="shared" si="19"/>
        <v>2.6820990165801872E-3</v>
      </c>
    </row>
    <row r="94" spans="1:21" x14ac:dyDescent="0.2">
      <c r="A94" s="114" t="str">
        <f>$A$14</f>
        <v>20% – 39%</v>
      </c>
      <c r="B94" s="36">
        <v>8</v>
      </c>
      <c r="C94" s="10">
        <v>156842</v>
      </c>
      <c r="D94" s="10">
        <v>76692</v>
      </c>
      <c r="E94" s="154">
        <v>69617.543000000005</v>
      </c>
      <c r="F94" s="37">
        <f t="shared" si="16"/>
        <v>0.51949468113664887</v>
      </c>
      <c r="G94" s="53">
        <v>10</v>
      </c>
      <c r="H94" s="54">
        <v>178928</v>
      </c>
      <c r="I94" s="54">
        <v>82620</v>
      </c>
      <c r="J94" s="164">
        <v>73946.7</v>
      </c>
      <c r="K94" s="56">
        <f t="shared" si="17"/>
        <v>0.58098855099773861</v>
      </c>
      <c r="L94" s="136">
        <v>10</v>
      </c>
      <c r="M94" s="137">
        <v>181825</v>
      </c>
      <c r="N94" s="137">
        <v>84972</v>
      </c>
      <c r="O94" s="171">
        <v>73585.907000000007</v>
      </c>
      <c r="P94" s="139">
        <f t="shared" si="18"/>
        <v>0.61708289821425866</v>
      </c>
      <c r="Q94" s="136">
        <v>10</v>
      </c>
      <c r="R94" s="137">
        <v>178234</v>
      </c>
      <c r="S94" s="137">
        <v>81706</v>
      </c>
      <c r="T94" s="171">
        <v>70811.387000000002</v>
      </c>
      <c r="U94" s="139">
        <f t="shared" si="19"/>
        <v>0.56512973914773434</v>
      </c>
    </row>
    <row r="95" spans="1:21" x14ac:dyDescent="0.2">
      <c r="A95" s="114" t="str">
        <f>$A$15</f>
        <v>40% – 59%</v>
      </c>
      <c r="B95" s="36">
        <v>26</v>
      </c>
      <c r="C95" s="10">
        <v>167362</v>
      </c>
      <c r="D95" s="10">
        <v>78791</v>
      </c>
      <c r="E95" s="154">
        <v>64003.978000000003</v>
      </c>
      <c r="F95" s="37">
        <f t="shared" si="16"/>
        <v>0.47760556764531442</v>
      </c>
      <c r="G95" s="53">
        <v>24</v>
      </c>
      <c r="H95" s="54">
        <v>141579</v>
      </c>
      <c r="I95" s="54">
        <v>66773</v>
      </c>
      <c r="J95" s="164">
        <v>52950.378000000004</v>
      </c>
      <c r="K95" s="56">
        <f t="shared" si="17"/>
        <v>0.4160234789247193</v>
      </c>
      <c r="L95" s="136">
        <v>23</v>
      </c>
      <c r="M95" s="137">
        <v>125102</v>
      </c>
      <c r="N95" s="137">
        <v>58254</v>
      </c>
      <c r="O95" s="171">
        <v>45305.166999999994</v>
      </c>
      <c r="P95" s="139">
        <f t="shared" si="18"/>
        <v>0.37992388619251488</v>
      </c>
      <c r="Q95" s="136">
        <v>23</v>
      </c>
      <c r="R95" s="137">
        <v>157905</v>
      </c>
      <c r="S95" s="137">
        <v>70518</v>
      </c>
      <c r="T95" s="171">
        <v>53413.055</v>
      </c>
      <c r="U95" s="139">
        <f t="shared" si="19"/>
        <v>0.42627756803059913</v>
      </c>
    </row>
    <row r="96" spans="1:21" x14ac:dyDescent="0.2">
      <c r="A96" s="114" t="str">
        <f>$A$16</f>
        <v>60% – 79%</v>
      </c>
      <c r="B96" s="36">
        <v>2</v>
      </c>
      <c r="C96" s="10">
        <v>885</v>
      </c>
      <c r="D96" s="10">
        <v>366</v>
      </c>
      <c r="E96" s="154">
        <v>152.834</v>
      </c>
      <c r="F96" s="37">
        <f t="shared" si="16"/>
        <v>1.1404661336128824E-3</v>
      </c>
      <c r="G96" s="53">
        <v>2</v>
      </c>
      <c r="H96" s="54">
        <v>859</v>
      </c>
      <c r="I96" s="54">
        <v>357</v>
      </c>
      <c r="J96" s="164">
        <v>148.92400000000001</v>
      </c>
      <c r="K96" s="56">
        <f t="shared" si="17"/>
        <v>1.1700743774744138E-3</v>
      </c>
      <c r="L96" s="136">
        <v>1</v>
      </c>
      <c r="M96" s="137">
        <v>392</v>
      </c>
      <c r="N96" s="137">
        <v>118</v>
      </c>
      <c r="O96" s="171">
        <v>28.606999999999999</v>
      </c>
      <c r="P96" s="139">
        <f t="shared" si="18"/>
        <v>2.3989499061573429E-4</v>
      </c>
      <c r="Q96" s="136">
        <v>4</v>
      </c>
      <c r="R96" s="137">
        <v>1581</v>
      </c>
      <c r="S96" s="137">
        <v>775</v>
      </c>
      <c r="T96" s="171">
        <v>455.11700000000002</v>
      </c>
      <c r="U96" s="139">
        <f t="shared" si="19"/>
        <v>3.632186324661306E-3</v>
      </c>
    </row>
    <row r="97" spans="1:21" ht="12.75" customHeight="1" x14ac:dyDescent="0.2">
      <c r="A97" s="114" t="str">
        <f>$A$17</f>
        <v>80% – 99%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6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7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8"/>
        <v>0</v>
      </c>
      <c r="Q97" s="136">
        <v>1</v>
      </c>
      <c r="R97" s="137">
        <v>958</v>
      </c>
      <c r="S97" s="137">
        <v>473</v>
      </c>
      <c r="T97" s="171">
        <v>285.48700000000002</v>
      </c>
      <c r="U97" s="139">
        <f t="shared" si="19"/>
        <v>2.278407480424995E-3</v>
      </c>
    </row>
    <row r="98" spans="1:21" ht="12.75" customHeight="1" x14ac:dyDescent="0.2">
      <c r="A98" s="114" t="str">
        <f>$A$18</f>
        <v>100%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6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8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9"/>
        <v>0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0">SUM(F$92:F$115)</f>
        <v>1.0000000000000002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21">SUM(K$92:K$115)</f>
        <v>1.0000000000000002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2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" si="23">SUM(U$92:U$115)</f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G3:K3"/>
    <mergeCell ref="B3:F3"/>
    <mergeCell ref="L3:P3"/>
    <mergeCell ref="Q3:U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1">
    <pageSetUpPr fitToPage="1"/>
  </sheetPr>
  <dimension ref="A1:Z120"/>
  <sheetViews>
    <sheetView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Translation!$A$253</f>
        <v>Erhöhung Deckungsgrad pro Jahr bei einer Minderverzinsung von 1%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Translation!$A$254</f>
        <v>Erhöhung Deckungsgrad um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</row>
    <row r="12" spans="1:26" x14ac:dyDescent="0.2">
      <c r="A12" s="114" t="str">
        <f>Translation!$A255</f>
        <v>0.00% – 0.19%</v>
      </c>
      <c r="B12" s="30">
        <v>79</v>
      </c>
      <c r="C12" s="6">
        <v>3602</v>
      </c>
      <c r="D12" s="6">
        <v>21371</v>
      </c>
      <c r="E12" s="150">
        <v>8872.9689999999991</v>
      </c>
      <c r="F12" s="31">
        <f t="shared" ref="F12:F17" si="0">E12/E$36</f>
        <v>9.8229702283043046E-3</v>
      </c>
      <c r="G12" s="41">
        <v>96</v>
      </c>
      <c r="H12" s="42">
        <v>5164</v>
      </c>
      <c r="I12" s="42">
        <v>23528</v>
      </c>
      <c r="J12" s="160">
        <v>10239.393999999998</v>
      </c>
      <c r="K12" s="44">
        <f t="shared" ref="K12:K17" si="1">J12/J$36</f>
        <v>1.19053703442804E-2</v>
      </c>
      <c r="L12" s="76">
        <v>96</v>
      </c>
      <c r="M12" s="122">
        <v>5568</v>
      </c>
      <c r="N12" s="122">
        <v>24560</v>
      </c>
      <c r="O12" s="167">
        <v>10665.714</v>
      </c>
      <c r="P12" s="124">
        <f t="shared" ref="P12:P17" si="2">O12/O$36</f>
        <v>1.2955935274434876E-2</v>
      </c>
      <c r="Q12" s="76">
        <v>94</v>
      </c>
      <c r="R12" s="122">
        <v>4884</v>
      </c>
      <c r="S12" s="122">
        <v>21923</v>
      </c>
      <c r="T12" s="167">
        <v>9282.0490000000009</v>
      </c>
      <c r="U12" s="124">
        <f t="shared" ref="U12:U17" si="3">T12/T$36</f>
        <v>1.1544391729714559E-2</v>
      </c>
      <c r="V12" s="76">
        <v>115</v>
      </c>
      <c r="W12" s="122">
        <v>24269</v>
      </c>
      <c r="X12" s="122">
        <v>23970</v>
      </c>
      <c r="Y12" s="167">
        <v>41829.788999999997</v>
      </c>
      <c r="Z12" s="124">
        <f t="shared" ref="Z12:Z17" si="4">Y12/Y$36</f>
        <v>5.6113109790212834E-2</v>
      </c>
    </row>
    <row r="13" spans="1:26" x14ac:dyDescent="0.2">
      <c r="A13" s="114" t="str">
        <f>Translation!$A256</f>
        <v>0.20% – 0.39%</v>
      </c>
      <c r="B13" s="30">
        <v>191</v>
      </c>
      <c r="C13" s="6">
        <v>221259</v>
      </c>
      <c r="D13" s="6">
        <v>139387</v>
      </c>
      <c r="E13" s="150">
        <v>89905.008000000002</v>
      </c>
      <c r="F13" s="31">
        <f t="shared" si="0"/>
        <v>9.9530857930356847E-2</v>
      </c>
      <c r="G13" s="41">
        <v>159</v>
      </c>
      <c r="H13" s="42">
        <v>205271</v>
      </c>
      <c r="I13" s="42">
        <v>152036</v>
      </c>
      <c r="J13" s="160">
        <v>114408.811</v>
      </c>
      <c r="K13" s="44">
        <f t="shared" si="1"/>
        <v>0.13302342556637448</v>
      </c>
      <c r="L13" s="76">
        <v>156</v>
      </c>
      <c r="M13" s="122">
        <v>198851</v>
      </c>
      <c r="N13" s="122">
        <v>153769</v>
      </c>
      <c r="O13" s="167">
        <v>110482.13500000001</v>
      </c>
      <c r="P13" s="124">
        <f t="shared" si="2"/>
        <v>0.13420567906109016</v>
      </c>
      <c r="Q13" s="76">
        <v>158</v>
      </c>
      <c r="R13" s="122">
        <v>241552</v>
      </c>
      <c r="S13" s="122">
        <v>183688</v>
      </c>
      <c r="T13" s="167">
        <v>133457.75399999999</v>
      </c>
      <c r="U13" s="124">
        <f t="shared" si="3"/>
        <v>0.16598582829544206</v>
      </c>
      <c r="V13" s="76">
        <v>168</v>
      </c>
      <c r="W13" s="122">
        <v>268113</v>
      </c>
      <c r="X13" s="122">
        <v>202027</v>
      </c>
      <c r="Y13" s="167">
        <v>133765.29999999999</v>
      </c>
      <c r="Z13" s="124">
        <f t="shared" si="4"/>
        <v>0.17944118639997816</v>
      </c>
    </row>
    <row r="14" spans="1:26" x14ac:dyDescent="0.2">
      <c r="A14" s="114" t="str">
        <f>Translation!$A257</f>
        <v>0.40% – 0.59%</v>
      </c>
      <c r="B14" s="30">
        <v>510</v>
      </c>
      <c r="C14" s="6">
        <v>1545576</v>
      </c>
      <c r="D14" s="6">
        <v>589599</v>
      </c>
      <c r="E14" s="150">
        <v>477385.40299999999</v>
      </c>
      <c r="F14" s="31">
        <f t="shared" si="0"/>
        <v>0.52849757517422336</v>
      </c>
      <c r="G14" s="41">
        <v>504</v>
      </c>
      <c r="H14" s="42">
        <v>1269084</v>
      </c>
      <c r="I14" s="42">
        <v>571012</v>
      </c>
      <c r="J14" s="160">
        <v>457080.61199999996</v>
      </c>
      <c r="K14" s="44">
        <f t="shared" si="1"/>
        <v>0.53144883017982669</v>
      </c>
      <c r="L14" s="76">
        <v>475</v>
      </c>
      <c r="M14" s="122">
        <v>1234013</v>
      </c>
      <c r="N14" s="122">
        <v>541266</v>
      </c>
      <c r="O14" s="167">
        <v>426801.89899999998</v>
      </c>
      <c r="P14" s="124">
        <f t="shared" si="2"/>
        <v>0.51844797061405268</v>
      </c>
      <c r="Q14" s="76">
        <v>486</v>
      </c>
      <c r="R14" s="122">
        <v>1229120</v>
      </c>
      <c r="S14" s="122">
        <v>503334</v>
      </c>
      <c r="T14" s="167">
        <v>398535.098</v>
      </c>
      <c r="U14" s="124">
        <f t="shared" si="3"/>
        <v>0.49567129944607924</v>
      </c>
      <c r="V14" s="76">
        <v>510</v>
      </c>
      <c r="W14" s="122">
        <v>1183855</v>
      </c>
      <c r="X14" s="122">
        <v>474884</v>
      </c>
      <c r="Y14" s="167">
        <v>377291.84299999999</v>
      </c>
      <c r="Z14" s="124">
        <f t="shared" si="4"/>
        <v>0.50612300743880745</v>
      </c>
    </row>
    <row r="15" spans="1:26" x14ac:dyDescent="0.2">
      <c r="A15" s="114" t="str">
        <f>Translation!$A258</f>
        <v>0.60% – 0.79%</v>
      </c>
      <c r="B15" s="30">
        <v>383</v>
      </c>
      <c r="C15" s="6">
        <v>930846</v>
      </c>
      <c r="D15" s="6">
        <v>143000</v>
      </c>
      <c r="E15" s="150">
        <v>157632.405</v>
      </c>
      <c r="F15" s="31">
        <f t="shared" si="0"/>
        <v>0.17450961694231173</v>
      </c>
      <c r="G15" s="41">
        <v>404</v>
      </c>
      <c r="H15" s="42">
        <v>1110510</v>
      </c>
      <c r="I15" s="42">
        <v>134344</v>
      </c>
      <c r="J15" s="160">
        <v>137058.07800000001</v>
      </c>
      <c r="K15" s="44">
        <f t="shared" si="1"/>
        <v>0.15935778789890009</v>
      </c>
      <c r="L15" s="76">
        <v>439</v>
      </c>
      <c r="M15" s="122">
        <v>1172326</v>
      </c>
      <c r="N15" s="122">
        <v>148989</v>
      </c>
      <c r="O15" s="167">
        <v>136983.78700000001</v>
      </c>
      <c r="P15" s="124">
        <f t="shared" si="2"/>
        <v>0.16639796248230299</v>
      </c>
      <c r="Q15" s="76">
        <v>466</v>
      </c>
      <c r="R15" s="122">
        <v>1095347</v>
      </c>
      <c r="S15" s="122">
        <v>139924</v>
      </c>
      <c r="T15" s="167">
        <v>122270.019</v>
      </c>
      <c r="U15" s="124">
        <f t="shared" si="3"/>
        <v>0.15207127177799232</v>
      </c>
      <c r="V15" s="76">
        <v>485</v>
      </c>
      <c r="W15" s="122">
        <v>1227332</v>
      </c>
      <c r="X15" s="122">
        <v>148505</v>
      </c>
      <c r="Y15" s="167">
        <v>120518.52499999999</v>
      </c>
      <c r="Z15" s="124">
        <f t="shared" si="4"/>
        <v>0.16167112927773816</v>
      </c>
    </row>
    <row r="16" spans="1:26" x14ac:dyDescent="0.2">
      <c r="A16" s="114" t="str">
        <f>Translation!$A259</f>
        <v>0.80% – 0.99%</v>
      </c>
      <c r="B16" s="30">
        <v>177</v>
      </c>
      <c r="C16" s="6">
        <v>1226599</v>
      </c>
      <c r="D16" s="6">
        <v>18543</v>
      </c>
      <c r="E16" s="150">
        <v>131784.42800000001</v>
      </c>
      <c r="F16" s="31">
        <f t="shared" si="0"/>
        <v>0.14589417733772231</v>
      </c>
      <c r="G16" s="41">
        <v>324</v>
      </c>
      <c r="H16" s="42">
        <v>977055</v>
      </c>
      <c r="I16" s="42">
        <v>7842</v>
      </c>
      <c r="J16" s="160">
        <v>94304.254000000001</v>
      </c>
      <c r="K16" s="44">
        <f t="shared" si="1"/>
        <v>0.10964780424613864</v>
      </c>
      <c r="L16" s="76">
        <v>358</v>
      </c>
      <c r="M16" s="122">
        <v>917546</v>
      </c>
      <c r="N16" s="122">
        <v>9505</v>
      </c>
      <c r="O16" s="167">
        <v>90598.459000000003</v>
      </c>
      <c r="P16" s="124">
        <f t="shared" si="2"/>
        <v>0.11005243256734072</v>
      </c>
      <c r="Q16" s="76">
        <v>413</v>
      </c>
      <c r="R16" s="122">
        <v>838983</v>
      </c>
      <c r="S16" s="122">
        <v>18960</v>
      </c>
      <c r="T16" s="167">
        <v>83032.86</v>
      </c>
      <c r="U16" s="124">
        <f t="shared" si="3"/>
        <v>0.10327071773468839</v>
      </c>
      <c r="V16" s="76">
        <v>430</v>
      </c>
      <c r="W16" s="122">
        <v>776312</v>
      </c>
      <c r="X16" s="122">
        <v>22324</v>
      </c>
      <c r="Y16" s="167">
        <v>58750.050999999999</v>
      </c>
      <c r="Z16" s="124">
        <f t="shared" si="4"/>
        <v>7.8811013413039296E-2</v>
      </c>
    </row>
    <row r="17" spans="1:26" ht="12.75" customHeight="1" x14ac:dyDescent="0.2">
      <c r="A17" s="110" t="str">
        <f>Translation!$A260</f>
        <v>1.00%</v>
      </c>
      <c r="B17" s="30">
        <v>314</v>
      </c>
      <c r="C17" s="6">
        <v>248030</v>
      </c>
      <c r="D17" s="6">
        <v>5591</v>
      </c>
      <c r="E17" s="150">
        <v>37707.57</v>
      </c>
      <c r="F17" s="31">
        <f t="shared" si="0"/>
        <v>4.1744802387081552E-2</v>
      </c>
      <c r="G17" s="41">
        <v>195</v>
      </c>
      <c r="H17" s="42">
        <v>483010</v>
      </c>
      <c r="I17" s="42">
        <v>63</v>
      </c>
      <c r="J17" s="160">
        <v>46973.99</v>
      </c>
      <c r="K17" s="44">
        <f t="shared" si="1"/>
        <v>5.4616781764479823E-2</v>
      </c>
      <c r="L17" s="76">
        <v>219</v>
      </c>
      <c r="M17" s="122">
        <v>509851</v>
      </c>
      <c r="N17" s="122">
        <v>512</v>
      </c>
      <c r="O17" s="167">
        <v>47697.96</v>
      </c>
      <c r="P17" s="124">
        <f t="shared" si="2"/>
        <v>5.7940020000778539E-2</v>
      </c>
      <c r="Q17" s="76">
        <v>228</v>
      </c>
      <c r="R17" s="122">
        <v>594151</v>
      </c>
      <c r="S17" s="122">
        <v>989</v>
      </c>
      <c r="T17" s="167">
        <v>57453.235000000001</v>
      </c>
      <c r="U17" s="124">
        <f t="shared" si="3"/>
        <v>7.1456491016083507E-2</v>
      </c>
      <c r="V17" s="76">
        <v>197</v>
      </c>
      <c r="W17" s="122">
        <v>452867</v>
      </c>
      <c r="X17" s="122">
        <v>71622</v>
      </c>
      <c r="Y17" s="167">
        <v>13299.327000000001</v>
      </c>
      <c r="Z17" s="124">
        <f t="shared" si="4"/>
        <v>1.7840553680223966E-2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860065.13899999985</v>
      </c>
      <c r="K36" s="66">
        <f>SUM(K$12:K$35)</f>
        <v>1.0000000000000002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804031.0149999999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745454.83500000008</v>
      </c>
      <c r="Z36" s="127">
        <f t="shared" si="9"/>
        <v>0.99999999999999989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0.00% – 0.19%</v>
      </c>
      <c r="B52" s="33">
        <v>79</v>
      </c>
      <c r="C52" s="8">
        <v>3602</v>
      </c>
      <c r="D52" s="8">
        <v>21371</v>
      </c>
      <c r="E52" s="152">
        <v>8872.9689999999991</v>
      </c>
      <c r="F52" s="34">
        <f t="shared" ref="F52:F57" si="10">E52/E$76</f>
        <v>1.1534156510920985E-2</v>
      </c>
      <c r="G52" s="47">
        <v>95</v>
      </c>
      <c r="H52" s="48">
        <v>5153</v>
      </c>
      <c r="I52" s="48">
        <v>23503</v>
      </c>
      <c r="J52" s="162">
        <v>10180.531999999999</v>
      </c>
      <c r="K52" s="50">
        <f t="shared" ref="K52:K57" si="11">J52/J$76</f>
        <v>1.3892879433466518E-2</v>
      </c>
      <c r="L52" s="128">
        <v>95</v>
      </c>
      <c r="M52" s="129">
        <v>5557</v>
      </c>
      <c r="N52" s="129">
        <v>24534</v>
      </c>
      <c r="O52" s="169">
        <v>10607.99</v>
      </c>
      <c r="P52" s="131">
        <f t="shared" ref="P52:P57" si="12">O52/O$76</f>
        <v>1.5068554066397255E-2</v>
      </c>
      <c r="Q52" s="128">
        <v>92</v>
      </c>
      <c r="R52" s="129">
        <v>4871</v>
      </c>
      <c r="S52" s="129">
        <v>21833</v>
      </c>
      <c r="T52" s="169">
        <v>9171.9860000000008</v>
      </c>
      <c r="U52" s="131">
        <f t="shared" ref="U52:U57" si="13">T52/T$76</f>
        <v>1.3513455077658221E-2</v>
      </c>
      <c r="V52" s="128">
        <v>113</v>
      </c>
      <c r="W52" s="129">
        <v>24256</v>
      </c>
      <c r="X52" s="129">
        <v>23879</v>
      </c>
      <c r="Y52" s="169">
        <v>41730.707999999999</v>
      </c>
      <c r="Z52" s="131">
        <f t="shared" ref="Z52:Z57" si="14">Y52/Y$76</f>
        <v>6.7672298776695658E-2</v>
      </c>
    </row>
    <row r="53" spans="1:26" x14ac:dyDescent="0.2">
      <c r="A53" s="114" t="str">
        <f>$A$13</f>
        <v>0.20% – 0.39%</v>
      </c>
      <c r="B53" s="33">
        <v>180</v>
      </c>
      <c r="C53" s="8">
        <v>153891</v>
      </c>
      <c r="D53" s="8">
        <v>104151</v>
      </c>
      <c r="E53" s="152">
        <v>60000.41</v>
      </c>
      <c r="F53" s="34">
        <f t="shared" si="10"/>
        <v>7.7995777925002174E-2</v>
      </c>
      <c r="G53" s="47">
        <v>152</v>
      </c>
      <c r="H53" s="48">
        <v>139508</v>
      </c>
      <c r="I53" s="48">
        <v>118757</v>
      </c>
      <c r="J53" s="162">
        <v>85657.244000000006</v>
      </c>
      <c r="K53" s="50">
        <f t="shared" si="11"/>
        <v>0.11689229634512455</v>
      </c>
      <c r="L53" s="128">
        <v>147</v>
      </c>
      <c r="M53" s="129">
        <v>112044</v>
      </c>
      <c r="N53" s="129">
        <v>105712</v>
      </c>
      <c r="O53" s="169">
        <v>72951.614000000001</v>
      </c>
      <c r="P53" s="131">
        <f t="shared" si="12"/>
        <v>0.10362710935718671</v>
      </c>
      <c r="Q53" s="128">
        <v>146</v>
      </c>
      <c r="R53" s="129">
        <v>179442</v>
      </c>
      <c r="S53" s="129">
        <v>150166</v>
      </c>
      <c r="T53" s="169">
        <v>107302.44899999999</v>
      </c>
      <c r="U53" s="131">
        <f t="shared" si="13"/>
        <v>0.15809300453404662</v>
      </c>
      <c r="V53" s="128">
        <v>158</v>
      </c>
      <c r="W53" s="129">
        <v>216224</v>
      </c>
      <c r="X53" s="129">
        <v>173019</v>
      </c>
      <c r="Y53" s="169">
        <v>112102.66</v>
      </c>
      <c r="Z53" s="131">
        <f t="shared" si="14"/>
        <v>0.18179046234207982</v>
      </c>
    </row>
    <row r="54" spans="1:26" x14ac:dyDescent="0.2">
      <c r="A54" s="114" t="str">
        <f>$A$14</f>
        <v>0.40% – 0.59%</v>
      </c>
      <c r="B54" s="33">
        <v>484</v>
      </c>
      <c r="C54" s="8">
        <v>1288207</v>
      </c>
      <c r="D54" s="8">
        <v>469025</v>
      </c>
      <c r="E54" s="152">
        <v>373535.91200000001</v>
      </c>
      <c r="F54" s="34">
        <f t="shared" si="10"/>
        <v>0.48556708261435472</v>
      </c>
      <c r="G54" s="47">
        <v>474</v>
      </c>
      <c r="H54" s="48">
        <v>1013790</v>
      </c>
      <c r="I54" s="48">
        <v>454577</v>
      </c>
      <c r="J54" s="162">
        <v>358761.75799999997</v>
      </c>
      <c r="K54" s="50">
        <f t="shared" si="11"/>
        <v>0.48958481238824181</v>
      </c>
      <c r="L54" s="128">
        <v>447</v>
      </c>
      <c r="M54" s="129">
        <v>1012488</v>
      </c>
      <c r="N54" s="129">
        <v>445515</v>
      </c>
      <c r="O54" s="169">
        <v>345142.13500000001</v>
      </c>
      <c r="P54" s="131">
        <f t="shared" si="12"/>
        <v>0.49027128813651605</v>
      </c>
      <c r="Q54" s="128">
        <v>457</v>
      </c>
      <c r="R54" s="129">
        <v>951863</v>
      </c>
      <c r="S54" s="129">
        <v>383034</v>
      </c>
      <c r="T54" s="169">
        <v>299499.34999999998</v>
      </c>
      <c r="U54" s="131">
        <f t="shared" si="13"/>
        <v>0.44126441231079461</v>
      </c>
      <c r="V54" s="128">
        <v>465</v>
      </c>
      <c r="W54" s="129">
        <v>877641</v>
      </c>
      <c r="X54" s="129">
        <v>344279</v>
      </c>
      <c r="Y54" s="169">
        <v>270257.43</v>
      </c>
      <c r="Z54" s="131">
        <f t="shared" si="14"/>
        <v>0.43826099354896908</v>
      </c>
    </row>
    <row r="55" spans="1:26" x14ac:dyDescent="0.2">
      <c r="A55" s="114" t="str">
        <f>$A$15</f>
        <v>0.60% – 0.79%</v>
      </c>
      <c r="B55" s="33">
        <v>382</v>
      </c>
      <c r="C55" s="8">
        <v>929860</v>
      </c>
      <c r="D55" s="8">
        <v>142626</v>
      </c>
      <c r="E55" s="152">
        <v>157376.37700000001</v>
      </c>
      <c r="F55" s="34">
        <f t="shared" si="10"/>
        <v>0.20457681791063462</v>
      </c>
      <c r="G55" s="47">
        <v>404</v>
      </c>
      <c r="H55" s="48">
        <v>1110510</v>
      </c>
      <c r="I55" s="48">
        <v>134344</v>
      </c>
      <c r="J55" s="162">
        <v>137058.07800000001</v>
      </c>
      <c r="K55" s="50">
        <f t="shared" si="11"/>
        <v>0.18703652746601554</v>
      </c>
      <c r="L55" s="128">
        <v>439</v>
      </c>
      <c r="M55" s="129">
        <v>1172326</v>
      </c>
      <c r="N55" s="129">
        <v>148989</v>
      </c>
      <c r="O55" s="169">
        <v>136983.78700000001</v>
      </c>
      <c r="P55" s="131">
        <f t="shared" si="12"/>
        <v>0.19458423326467555</v>
      </c>
      <c r="Q55" s="128">
        <v>466</v>
      </c>
      <c r="R55" s="129">
        <v>1095347</v>
      </c>
      <c r="S55" s="129">
        <v>139924</v>
      </c>
      <c r="T55" s="169">
        <v>122270.019</v>
      </c>
      <c r="U55" s="131">
        <f t="shared" si="13"/>
        <v>0.18014532611594883</v>
      </c>
      <c r="V55" s="128">
        <v>485</v>
      </c>
      <c r="W55" s="129">
        <v>1227332</v>
      </c>
      <c r="X55" s="129">
        <v>148505</v>
      </c>
      <c r="Y55" s="169">
        <v>120518.52499999999</v>
      </c>
      <c r="Z55" s="131">
        <f t="shared" si="14"/>
        <v>0.1954379885413558</v>
      </c>
    </row>
    <row r="56" spans="1:26" x14ac:dyDescent="0.2">
      <c r="A56" s="114" t="str">
        <f>$A$16</f>
        <v>0.80% – 0.99%</v>
      </c>
      <c r="B56" s="33">
        <v>177</v>
      </c>
      <c r="C56" s="8">
        <v>1226599</v>
      </c>
      <c r="D56" s="8">
        <v>18543</v>
      </c>
      <c r="E56" s="152">
        <v>131784.42800000001</v>
      </c>
      <c r="F56" s="34">
        <f t="shared" si="10"/>
        <v>0.17130931239072264</v>
      </c>
      <c r="G56" s="47">
        <v>323</v>
      </c>
      <c r="H56" s="48">
        <v>976083</v>
      </c>
      <c r="I56" s="48">
        <v>7483</v>
      </c>
      <c r="J56" s="162">
        <v>94156.157999999996</v>
      </c>
      <c r="K56" s="50">
        <f t="shared" si="11"/>
        <v>0.12849035305939061</v>
      </c>
      <c r="L56" s="128">
        <v>358</v>
      </c>
      <c r="M56" s="129">
        <v>917546</v>
      </c>
      <c r="N56" s="129">
        <v>9505</v>
      </c>
      <c r="O56" s="169">
        <v>90598.459000000003</v>
      </c>
      <c r="P56" s="131">
        <f t="shared" si="12"/>
        <v>0.12869429343106234</v>
      </c>
      <c r="Q56" s="128">
        <v>413</v>
      </c>
      <c r="R56" s="129">
        <v>838983</v>
      </c>
      <c r="S56" s="129">
        <v>18960</v>
      </c>
      <c r="T56" s="169">
        <v>83032.86</v>
      </c>
      <c r="U56" s="131">
        <f t="shared" si="13"/>
        <v>0.12233564503690739</v>
      </c>
      <c r="V56" s="128">
        <v>430</v>
      </c>
      <c r="W56" s="129">
        <v>776312</v>
      </c>
      <c r="X56" s="129">
        <v>22324</v>
      </c>
      <c r="Y56" s="169">
        <v>58750.050999999999</v>
      </c>
      <c r="Z56" s="131">
        <f t="shared" si="14"/>
        <v>9.5271592430641414E-2</v>
      </c>
    </row>
    <row r="57" spans="1:26" ht="12.75" customHeight="1" x14ac:dyDescent="0.2">
      <c r="A57" s="114" t="str">
        <f>$A$17</f>
        <v>1.00%</v>
      </c>
      <c r="B57" s="33">
        <v>314</v>
      </c>
      <c r="C57" s="8">
        <v>248030</v>
      </c>
      <c r="D57" s="8">
        <v>5591</v>
      </c>
      <c r="E57" s="152">
        <v>37707.57</v>
      </c>
      <c r="F57" s="34">
        <f t="shared" si="10"/>
        <v>4.9016852648364806E-2</v>
      </c>
      <c r="G57" s="47">
        <v>195</v>
      </c>
      <c r="H57" s="48">
        <v>483010</v>
      </c>
      <c r="I57" s="48">
        <v>63</v>
      </c>
      <c r="J57" s="162">
        <v>46973.99</v>
      </c>
      <c r="K57" s="50">
        <f t="shared" si="11"/>
        <v>6.4103131307760922E-2</v>
      </c>
      <c r="L57" s="128">
        <v>219</v>
      </c>
      <c r="M57" s="129">
        <v>509851</v>
      </c>
      <c r="N57" s="129">
        <v>512</v>
      </c>
      <c r="O57" s="169">
        <v>47697.96</v>
      </c>
      <c r="P57" s="131">
        <f t="shared" si="12"/>
        <v>6.775452174416205E-2</v>
      </c>
      <c r="Q57" s="128">
        <v>228</v>
      </c>
      <c r="R57" s="129">
        <v>594151</v>
      </c>
      <c r="S57" s="129">
        <v>989</v>
      </c>
      <c r="T57" s="169">
        <v>57453.235000000001</v>
      </c>
      <c r="U57" s="131">
        <f t="shared" si="13"/>
        <v>8.4648156924644335E-2</v>
      </c>
      <c r="V57" s="128">
        <v>196</v>
      </c>
      <c r="W57" s="129">
        <v>452867</v>
      </c>
      <c r="X57" s="129">
        <v>71621</v>
      </c>
      <c r="Y57" s="169">
        <v>13299.27</v>
      </c>
      <c r="Z57" s="131">
        <f t="shared" si="14"/>
        <v>2.1566664360258284E-2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0.99999999999999989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0.00% – 0.19%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9">E92/E$116</f>
        <v>0</v>
      </c>
      <c r="G92" s="53">
        <v>1</v>
      </c>
      <c r="H92" s="54">
        <v>11</v>
      </c>
      <c r="I92" s="54">
        <v>25</v>
      </c>
      <c r="J92" s="164">
        <v>58.862000000000002</v>
      </c>
      <c r="K92" s="56">
        <f t="shared" ref="K92:K97" si="20">J92/J$116</f>
        <v>4.6247023990021036E-4</v>
      </c>
      <c r="L92" s="136">
        <v>1</v>
      </c>
      <c r="M92" s="137">
        <v>11</v>
      </c>
      <c r="N92" s="137">
        <v>26</v>
      </c>
      <c r="O92" s="171">
        <v>57.723999999999997</v>
      </c>
      <c r="P92" s="139">
        <f t="shared" ref="P92:P97" si="21">O92/O$116</f>
        <v>4.8406678219675768E-4</v>
      </c>
      <c r="Q92" s="136">
        <v>2</v>
      </c>
      <c r="R92" s="137">
        <v>13</v>
      </c>
      <c r="S92" s="137">
        <v>90</v>
      </c>
      <c r="T92" s="171">
        <v>110.063</v>
      </c>
      <c r="U92" s="139">
        <f t="shared" ref="U92:U97" si="22">T92/T$116</f>
        <v>8.7838802648812801E-4</v>
      </c>
      <c r="V92" s="136">
        <v>2</v>
      </c>
      <c r="W92" s="137">
        <v>13</v>
      </c>
      <c r="X92" s="137">
        <v>91</v>
      </c>
      <c r="Y92" s="171">
        <v>99.081000000000003</v>
      </c>
      <c r="Z92" s="139">
        <f t="shared" ref="Z92:Z97" si="23">Y92/Y$116</f>
        <v>7.6928517241631785E-4</v>
      </c>
    </row>
    <row r="93" spans="1:26" x14ac:dyDescent="0.2">
      <c r="A93" s="114" t="str">
        <f>$A$13</f>
        <v>0.20% – 0.39%</v>
      </c>
      <c r="B93" s="36">
        <v>11</v>
      </c>
      <c r="C93" s="10">
        <v>67368</v>
      </c>
      <c r="D93" s="10">
        <v>35236</v>
      </c>
      <c r="E93" s="154">
        <v>29904.598000000002</v>
      </c>
      <c r="F93" s="37">
        <f t="shared" si="19"/>
        <v>0.22315179383061057</v>
      </c>
      <c r="G93" s="53">
        <v>7</v>
      </c>
      <c r="H93" s="54">
        <v>65763</v>
      </c>
      <c r="I93" s="54">
        <v>33279</v>
      </c>
      <c r="J93" s="164">
        <v>28751.566999999999</v>
      </c>
      <c r="K93" s="56">
        <f t="shared" si="20"/>
        <v>0.22589691291490216</v>
      </c>
      <c r="L93" s="136">
        <v>9</v>
      </c>
      <c r="M93" s="137">
        <v>86807</v>
      </c>
      <c r="N93" s="137">
        <v>48057</v>
      </c>
      <c r="O93" s="171">
        <v>37530.521000000001</v>
      </c>
      <c r="P93" s="139">
        <f t="shared" si="21"/>
        <v>0.31472660478549375</v>
      </c>
      <c r="Q93" s="136">
        <v>12</v>
      </c>
      <c r="R93" s="137">
        <v>62110</v>
      </c>
      <c r="S93" s="137">
        <v>33522</v>
      </c>
      <c r="T93" s="171">
        <v>26155.305</v>
      </c>
      <c r="U93" s="139">
        <f t="shared" si="22"/>
        <v>0.20873960132964817</v>
      </c>
      <c r="V93" s="136">
        <v>10</v>
      </c>
      <c r="W93" s="137">
        <v>51889</v>
      </c>
      <c r="X93" s="137">
        <v>29008</v>
      </c>
      <c r="Y93" s="171">
        <v>21662.639999999999</v>
      </c>
      <c r="Z93" s="139">
        <f t="shared" si="23"/>
        <v>0.16819317273132714</v>
      </c>
    </row>
    <row r="94" spans="1:26" x14ac:dyDescent="0.2">
      <c r="A94" s="114" t="str">
        <f>$A$14</f>
        <v>0.40% – 0.59%</v>
      </c>
      <c r="B94" s="36">
        <v>26</v>
      </c>
      <c r="C94" s="10">
        <v>257369</v>
      </c>
      <c r="D94" s="10">
        <v>120574</v>
      </c>
      <c r="E94" s="154">
        <v>103849.49099999999</v>
      </c>
      <c r="F94" s="37">
        <f t="shared" si="19"/>
        <v>0.77493769369666321</v>
      </c>
      <c r="G94" s="53">
        <v>30</v>
      </c>
      <c r="H94" s="54">
        <v>255294</v>
      </c>
      <c r="I94" s="54">
        <v>116435</v>
      </c>
      <c r="J94" s="164">
        <v>98318.854000000007</v>
      </c>
      <c r="K94" s="56">
        <f t="shared" si="20"/>
        <v>0.77247704794423833</v>
      </c>
      <c r="L94" s="136">
        <v>28</v>
      </c>
      <c r="M94" s="137">
        <v>221525</v>
      </c>
      <c r="N94" s="137">
        <v>95751</v>
      </c>
      <c r="O94" s="171">
        <v>81659.763999999996</v>
      </c>
      <c r="P94" s="139">
        <f t="shared" si="21"/>
        <v>0.68478932843230955</v>
      </c>
      <c r="Q94" s="136">
        <v>29</v>
      </c>
      <c r="R94" s="137">
        <v>277257</v>
      </c>
      <c r="S94" s="137">
        <v>120300</v>
      </c>
      <c r="T94" s="171">
        <v>99035.748000000007</v>
      </c>
      <c r="U94" s="139">
        <f t="shared" si="22"/>
        <v>0.79038201064386371</v>
      </c>
      <c r="V94" s="136">
        <v>45</v>
      </c>
      <c r="W94" s="137">
        <v>306214</v>
      </c>
      <c r="X94" s="137">
        <v>130605</v>
      </c>
      <c r="Y94" s="171">
        <v>107034.413</v>
      </c>
      <c r="Z94" s="139">
        <f t="shared" si="23"/>
        <v>0.831037099536585</v>
      </c>
    </row>
    <row r="95" spans="1:26" x14ac:dyDescent="0.2">
      <c r="A95" s="114" t="str">
        <f>$A$15</f>
        <v>0.60% – 0.79%</v>
      </c>
      <c r="B95" s="36">
        <v>1</v>
      </c>
      <c r="C95" s="10">
        <v>986</v>
      </c>
      <c r="D95" s="10">
        <v>374</v>
      </c>
      <c r="E95" s="154">
        <v>256.02800000000002</v>
      </c>
      <c r="F95" s="37">
        <f t="shared" si="19"/>
        <v>1.9105124727262198E-3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20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21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22"/>
        <v>0</v>
      </c>
      <c r="V95" s="136">
        <v>0</v>
      </c>
      <c r="W95" s="137">
        <v>0</v>
      </c>
      <c r="X95" s="137">
        <v>0</v>
      </c>
      <c r="Y95" s="171">
        <v>0</v>
      </c>
      <c r="Z95" s="139">
        <f t="shared" si="23"/>
        <v>0</v>
      </c>
    </row>
    <row r="96" spans="1:26" x14ac:dyDescent="0.2">
      <c r="A96" s="114" t="str">
        <f>$A$16</f>
        <v>0.80% – 0.99%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1</v>
      </c>
      <c r="H96" s="54">
        <v>972</v>
      </c>
      <c r="I96" s="54">
        <v>359</v>
      </c>
      <c r="J96" s="164">
        <v>148.096</v>
      </c>
      <c r="K96" s="56">
        <f t="shared" si="20"/>
        <v>1.1635689009592191E-3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21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12.75" customHeight="1" x14ac:dyDescent="0.2">
      <c r="A97" s="114" t="str">
        <f>$A$17</f>
        <v>1.00%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9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0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21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22"/>
        <v>0</v>
      </c>
      <c r="V97" s="136">
        <v>1</v>
      </c>
      <c r="W97" s="137">
        <v>0</v>
      </c>
      <c r="X97" s="137">
        <v>1</v>
      </c>
      <c r="Y97" s="171">
        <v>5.7000000000000002E-2</v>
      </c>
      <c r="Z97" s="139">
        <f t="shared" si="23"/>
        <v>4.4255967165985527E-7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4">
    <pageSetUpPr fitToPage="1"/>
  </sheetPr>
  <dimension ref="A1:Z116"/>
  <sheetViews>
    <sheetView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hidden="1" customWidth="1"/>
    <col min="3" max="4" width="0" style="18" hidden="1" customWidth="1"/>
    <col min="5" max="5" width="0" style="26" hidden="1" customWidth="1"/>
    <col min="6" max="6" width="11" style="27"/>
    <col min="7" max="7" width="11" style="25" hidden="1" customWidth="1"/>
    <col min="8" max="9" width="11" style="18" hidden="1" customWidth="1"/>
    <col min="10" max="10" width="11" style="40" hidden="1" customWidth="1"/>
    <col min="11" max="11" width="11" style="27"/>
    <col min="12" max="12" width="11" style="25" hidden="1" customWidth="1"/>
    <col min="13" max="14" width="11" style="18" hidden="1" customWidth="1"/>
    <col min="15" max="15" width="11" style="40" hidden="1" customWidth="1"/>
    <col min="16" max="16" width="11" style="27"/>
    <col min="17" max="17" width="11" style="25" hidden="1" customWidth="1"/>
    <col min="18" max="19" width="11" style="18" hidden="1" customWidth="1"/>
    <col min="20" max="20" width="11" style="40" hidden="1" customWidth="1"/>
    <col min="21" max="21" width="11" style="27"/>
    <col min="22" max="22" width="11" style="25" hidden="1" customWidth="1"/>
    <col min="23" max="24" width="11" style="18" hidden="1" customWidth="1"/>
    <col min="25" max="25" width="11" style="40" hidden="1" customWidth="1"/>
    <col min="26" max="26" width="11" style="27"/>
    <col min="27" max="16384" width="11" style="1"/>
  </cols>
  <sheetData>
    <row r="1" spans="1:26" s="22" customFormat="1" ht="18" x14ac:dyDescent="0.25">
      <c r="A1" s="109" t="str">
        <f>Translation!$A$261</f>
        <v>Aufteilung der Gesamt-Anlagestrategie in Hauptkategorien</v>
      </c>
      <c r="B1" s="21"/>
      <c r="E1" s="23"/>
      <c r="F1" s="24"/>
      <c r="G1" s="21"/>
      <c r="J1" s="39"/>
      <c r="K1" s="24"/>
      <c r="L1" s="21"/>
      <c r="O1" s="39"/>
      <c r="P1" s="24"/>
      <c r="Q1" s="21"/>
      <c r="T1" s="39"/>
      <c r="U1" s="24"/>
      <c r="V1" s="21"/>
      <c r="Y1" s="39"/>
      <c r="Z1" s="24"/>
    </row>
    <row r="2" spans="1:26" s="18" customFormat="1" x14ac:dyDescent="0.2">
      <c r="A2" s="121" t="str">
        <f>Translation!$A$28</f>
        <v>zurück zur Übersicht</v>
      </c>
      <c r="B2" s="25"/>
      <c r="E2" s="26"/>
      <c r="F2" s="27"/>
      <c r="G2" s="25"/>
      <c r="J2" s="40"/>
      <c r="K2" s="27"/>
      <c r="L2" s="25"/>
      <c r="O2" s="40"/>
      <c r="P2" s="27"/>
      <c r="Q2" s="25"/>
      <c r="T2" s="40"/>
      <c r="U2" s="27"/>
      <c r="V2" s="25"/>
      <c r="Y2" s="40"/>
      <c r="Z2" s="27"/>
    </row>
    <row r="3" spans="1:26" s="18" customFormat="1" ht="15.75" x14ac:dyDescent="0.25">
      <c r="A3" s="110"/>
      <c r="B3" s="144"/>
      <c r="C3" s="145"/>
      <c r="D3" s="145"/>
      <c r="E3" s="145"/>
      <c r="F3" s="204">
        <f>Translation!$A$42</f>
        <v>2017</v>
      </c>
      <c r="G3" s="205"/>
      <c r="H3" s="206"/>
      <c r="I3" s="206"/>
      <c r="J3" s="206"/>
      <c r="K3" s="207">
        <f>Translation!$A$41</f>
        <v>2016</v>
      </c>
      <c r="L3" s="205"/>
      <c r="M3" s="206"/>
      <c r="N3" s="206"/>
      <c r="O3" s="206"/>
      <c r="P3" s="207">
        <f>Translation!$A$40</f>
        <v>2015</v>
      </c>
      <c r="Q3" s="205"/>
      <c r="R3" s="206"/>
      <c r="S3" s="206"/>
      <c r="T3" s="206"/>
      <c r="U3" s="207">
        <f>Translation!$A$39</f>
        <v>2014</v>
      </c>
      <c r="V3" s="173"/>
      <c r="W3" s="174"/>
      <c r="X3" s="174"/>
      <c r="Y3" s="174"/>
      <c r="Z3" s="175">
        <f>Translation!$A$38</f>
        <v>2013</v>
      </c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20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20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20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20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20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61"/>
      <c r="F5" s="62"/>
      <c r="G5" s="59"/>
      <c r="J5" s="63"/>
      <c r="K5" s="62"/>
      <c r="L5" s="59"/>
      <c r="M5" s="74"/>
      <c r="N5" s="74"/>
      <c r="O5" s="63"/>
      <c r="P5" s="62"/>
      <c r="Q5" s="59"/>
      <c r="R5" s="74"/>
      <c r="S5" s="74"/>
      <c r="T5" s="63"/>
      <c r="U5" s="62"/>
      <c r="V5" s="59"/>
      <c r="W5" s="74"/>
      <c r="X5" s="74"/>
      <c r="Y5" s="63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Translation!$A262</f>
        <v>Liquidität</v>
      </c>
      <c r="B12" s="30"/>
      <c r="C12" s="6"/>
      <c r="D12" s="6"/>
      <c r="E12" s="12"/>
      <c r="F12" s="31">
        <v>3.1801224546925876E-2</v>
      </c>
      <c r="G12" s="41"/>
      <c r="H12" s="42"/>
      <c r="I12" s="42"/>
      <c r="J12" s="43"/>
      <c r="K12" s="44">
        <v>3.1728958129003261E-2</v>
      </c>
      <c r="L12" s="76"/>
      <c r="M12" s="122"/>
      <c r="N12" s="122"/>
      <c r="O12" s="123"/>
      <c r="P12" s="124">
        <v>3.6356858365383687E-2</v>
      </c>
      <c r="Q12" s="76"/>
      <c r="R12" s="122"/>
      <c r="S12" s="122"/>
      <c r="T12" s="123"/>
      <c r="U12" s="124">
        <v>4.4636424528000006E-2</v>
      </c>
      <c r="V12" s="76"/>
      <c r="W12" s="122"/>
      <c r="X12" s="122"/>
      <c r="Y12" s="123"/>
      <c r="Z12" s="124">
        <v>3.959E-2</v>
      </c>
    </row>
    <row r="13" spans="1:26" x14ac:dyDescent="0.2">
      <c r="A13" s="114" t="str">
        <f>Translation!$A263</f>
        <v>Forderungen</v>
      </c>
      <c r="B13" s="30"/>
      <c r="C13" s="6"/>
      <c r="D13" s="6"/>
      <c r="E13" s="12"/>
      <c r="F13" s="31">
        <v>0.37604857167162914</v>
      </c>
      <c r="G13" s="41"/>
      <c r="H13" s="42"/>
      <c r="I13" s="42"/>
      <c r="J13" s="43"/>
      <c r="K13" s="44">
        <v>0.38561416488142675</v>
      </c>
      <c r="L13" s="76"/>
      <c r="M13" s="122"/>
      <c r="N13" s="122"/>
      <c r="O13" s="123"/>
      <c r="P13" s="124">
        <v>0.3931766051851468</v>
      </c>
      <c r="Q13" s="76"/>
      <c r="R13" s="122"/>
      <c r="S13" s="122"/>
      <c r="T13" s="123"/>
      <c r="U13" s="124">
        <v>0.40471648226000001</v>
      </c>
      <c r="V13" s="76"/>
      <c r="W13" s="122"/>
      <c r="X13" s="122"/>
      <c r="Y13" s="123"/>
      <c r="Z13" s="124">
        <v>0.41981999999999997</v>
      </c>
    </row>
    <row r="14" spans="1:26" x14ac:dyDescent="0.2">
      <c r="A14" s="114" t="str">
        <f>Translation!$A264</f>
        <v>Immobilien</v>
      </c>
      <c r="B14" s="30"/>
      <c r="C14" s="6"/>
      <c r="D14" s="6"/>
      <c r="E14" s="12"/>
      <c r="F14" s="31">
        <v>0.2036040496161485</v>
      </c>
      <c r="G14" s="41"/>
      <c r="H14" s="42"/>
      <c r="I14" s="42"/>
      <c r="J14" s="43"/>
      <c r="K14" s="44">
        <v>0.20010629505439617</v>
      </c>
      <c r="L14" s="76"/>
      <c r="M14" s="122"/>
      <c r="N14" s="122"/>
      <c r="O14" s="123"/>
      <c r="P14" s="124">
        <v>0.19576550228075432</v>
      </c>
      <c r="Q14" s="76"/>
      <c r="R14" s="122"/>
      <c r="S14" s="122"/>
      <c r="T14" s="123"/>
      <c r="U14" s="124">
        <v>0.18923432240000002</v>
      </c>
      <c r="V14" s="76"/>
      <c r="W14" s="122"/>
      <c r="X14" s="122"/>
      <c r="Y14" s="123"/>
      <c r="Z14" s="124">
        <v>0.18631</v>
      </c>
    </row>
    <row r="15" spans="1:26" x14ac:dyDescent="0.2">
      <c r="A15" s="114" t="str">
        <f>Translation!$A265</f>
        <v>Aktien</v>
      </c>
      <c r="B15" s="30"/>
      <c r="C15" s="6"/>
      <c r="D15" s="6"/>
      <c r="E15" s="12"/>
      <c r="F15" s="31">
        <v>0.30314499130092254</v>
      </c>
      <c r="G15" s="41"/>
      <c r="H15" s="42"/>
      <c r="I15" s="42"/>
      <c r="J15" s="43"/>
      <c r="K15" s="44">
        <v>0.30122674000985694</v>
      </c>
      <c r="L15" s="76"/>
      <c r="M15" s="122"/>
      <c r="N15" s="122"/>
      <c r="O15" s="123"/>
      <c r="P15" s="124">
        <v>0.29625143241781021</v>
      </c>
      <c r="Q15" s="76"/>
      <c r="R15" s="122"/>
      <c r="S15" s="122"/>
      <c r="T15" s="123"/>
      <c r="U15" s="124">
        <v>0.29057047998000002</v>
      </c>
      <c r="V15" s="76"/>
      <c r="W15" s="122"/>
      <c r="X15" s="122"/>
      <c r="Y15" s="123"/>
      <c r="Z15" s="124">
        <v>0.28778999999999999</v>
      </c>
    </row>
    <row r="16" spans="1:26" x14ac:dyDescent="0.2">
      <c r="A16" s="114" t="str">
        <f>Translation!$A266</f>
        <v>Alternative Anlagen</v>
      </c>
      <c r="B16" s="30"/>
      <c r="C16" s="6"/>
      <c r="D16" s="6"/>
      <c r="E16" s="12"/>
      <c r="F16" s="31">
        <v>8.5401162864373978E-2</v>
      </c>
      <c r="G16" s="41"/>
      <c r="H16" s="42"/>
      <c r="I16" s="42"/>
      <c r="J16" s="43"/>
      <c r="K16" s="44">
        <v>8.1323841925316775E-2</v>
      </c>
      <c r="L16" s="76"/>
      <c r="M16" s="122"/>
      <c r="N16" s="122"/>
      <c r="O16" s="123"/>
      <c r="P16" s="124">
        <v>7.8449601750905013E-2</v>
      </c>
      <c r="Q16" s="76"/>
      <c r="R16" s="122"/>
      <c r="S16" s="122"/>
      <c r="T16" s="123"/>
      <c r="U16" s="124">
        <v>7.0842290825000001E-2</v>
      </c>
      <c r="V16" s="76"/>
      <c r="W16" s="122"/>
      <c r="X16" s="122"/>
      <c r="Y16" s="123"/>
      <c r="Z16" s="124">
        <v>6.6500000000000004E-2</v>
      </c>
    </row>
    <row r="17" spans="2:26" ht="12.75" hidden="1" customHeight="1" x14ac:dyDescent="0.2">
      <c r="B17" s="30"/>
      <c r="C17" s="6"/>
      <c r="D17" s="6"/>
      <c r="E17" s="12"/>
      <c r="F17" s="31"/>
      <c r="G17" s="41"/>
      <c r="H17" s="42"/>
      <c r="I17" s="42"/>
      <c r="J17" s="43"/>
      <c r="K17" s="44"/>
      <c r="L17" s="76"/>
      <c r="M17" s="122"/>
      <c r="N17" s="122"/>
      <c r="O17" s="123"/>
      <c r="P17" s="124"/>
      <c r="Q17" s="76"/>
      <c r="R17" s="122"/>
      <c r="S17" s="122"/>
      <c r="T17" s="123"/>
      <c r="U17" s="124"/>
      <c r="V17" s="76"/>
      <c r="W17" s="122"/>
      <c r="X17" s="122"/>
      <c r="Y17" s="123"/>
      <c r="Z17" s="124"/>
    </row>
    <row r="18" spans="2:26" ht="12.75" hidden="1" customHeight="1" x14ac:dyDescent="0.2">
      <c r="B18" s="30"/>
      <c r="C18" s="6"/>
      <c r="D18" s="6"/>
      <c r="E18" s="12"/>
      <c r="F18" s="31"/>
      <c r="G18" s="41"/>
      <c r="H18" s="42"/>
      <c r="I18" s="42"/>
      <c r="J18" s="43"/>
      <c r="K18" s="44"/>
      <c r="L18" s="76"/>
      <c r="M18" s="122"/>
      <c r="N18" s="122"/>
      <c r="O18" s="123"/>
      <c r="P18" s="124"/>
      <c r="Q18" s="76"/>
      <c r="R18" s="122"/>
      <c r="S18" s="122"/>
      <c r="T18" s="123"/>
      <c r="U18" s="124"/>
      <c r="V18" s="76"/>
      <c r="W18" s="122"/>
      <c r="X18" s="122"/>
      <c r="Y18" s="123"/>
      <c r="Z18" s="124"/>
    </row>
    <row r="19" spans="2:26" ht="12.75" hidden="1" customHeight="1" x14ac:dyDescent="0.2">
      <c r="B19" s="30"/>
      <c r="C19" s="6"/>
      <c r="D19" s="6"/>
      <c r="E19" s="12"/>
      <c r="F19" s="31"/>
      <c r="G19" s="41"/>
      <c r="H19" s="42"/>
      <c r="I19" s="42"/>
      <c r="J19" s="43"/>
      <c r="K19" s="44"/>
      <c r="L19" s="76"/>
      <c r="M19" s="122"/>
      <c r="N19" s="122"/>
      <c r="O19" s="123"/>
      <c r="P19" s="124"/>
      <c r="Q19" s="76"/>
      <c r="R19" s="122"/>
      <c r="S19" s="122"/>
      <c r="T19" s="123"/>
      <c r="U19" s="124"/>
      <c r="V19" s="76"/>
      <c r="W19" s="122"/>
      <c r="X19" s="122"/>
      <c r="Y19" s="123"/>
      <c r="Z19" s="124"/>
    </row>
    <row r="20" spans="2:26" ht="12.75" hidden="1" customHeight="1" x14ac:dyDescent="0.2">
      <c r="B20" s="30"/>
      <c r="C20" s="6"/>
      <c r="D20" s="6"/>
      <c r="E20" s="12"/>
      <c r="F20" s="31"/>
      <c r="G20" s="41"/>
      <c r="H20" s="42"/>
      <c r="I20" s="42"/>
      <c r="J20" s="43"/>
      <c r="K20" s="44"/>
      <c r="L20" s="76"/>
      <c r="M20" s="122"/>
      <c r="N20" s="122"/>
      <c r="O20" s="123"/>
      <c r="P20" s="124"/>
      <c r="Q20" s="76"/>
      <c r="R20" s="122"/>
      <c r="S20" s="122"/>
      <c r="T20" s="123"/>
      <c r="U20" s="124"/>
      <c r="V20" s="76"/>
      <c r="W20" s="122"/>
      <c r="X20" s="122"/>
      <c r="Y20" s="123"/>
      <c r="Z20" s="124"/>
    </row>
    <row r="21" spans="2:26" ht="12.75" hidden="1" customHeight="1" x14ac:dyDescent="0.2">
      <c r="B21" s="30"/>
      <c r="C21" s="6"/>
      <c r="D21" s="6"/>
      <c r="E21" s="12"/>
      <c r="F21" s="31"/>
      <c r="G21" s="41"/>
      <c r="H21" s="42"/>
      <c r="I21" s="42"/>
      <c r="J21" s="43"/>
      <c r="K21" s="44"/>
      <c r="L21" s="76"/>
      <c r="M21" s="122"/>
      <c r="N21" s="122"/>
      <c r="O21" s="123"/>
      <c r="P21" s="124"/>
      <c r="Q21" s="76"/>
      <c r="R21" s="122"/>
      <c r="S21" s="122"/>
      <c r="T21" s="123"/>
      <c r="U21" s="124"/>
      <c r="V21" s="76"/>
      <c r="W21" s="122"/>
      <c r="X21" s="122"/>
      <c r="Y21" s="123"/>
      <c r="Z21" s="124"/>
    </row>
    <row r="22" spans="2:26" ht="12.75" hidden="1" customHeight="1" x14ac:dyDescent="0.2">
      <c r="B22" s="30"/>
      <c r="C22" s="6"/>
      <c r="D22" s="6"/>
      <c r="E22" s="12"/>
      <c r="F22" s="31"/>
      <c r="G22" s="41"/>
      <c r="H22" s="42"/>
      <c r="I22" s="42"/>
      <c r="J22" s="43"/>
      <c r="K22" s="44"/>
      <c r="L22" s="76"/>
      <c r="M22" s="122"/>
      <c r="N22" s="122"/>
      <c r="O22" s="123"/>
      <c r="P22" s="124"/>
      <c r="Q22" s="76"/>
      <c r="R22" s="122"/>
      <c r="S22" s="122"/>
      <c r="T22" s="123"/>
      <c r="U22" s="124"/>
      <c r="V22" s="76"/>
      <c r="W22" s="122"/>
      <c r="X22" s="122"/>
      <c r="Y22" s="123"/>
      <c r="Z22" s="124"/>
    </row>
    <row r="23" spans="2:26" ht="12.75" hidden="1" customHeight="1" x14ac:dyDescent="0.2">
      <c r="B23" s="30"/>
      <c r="C23" s="6"/>
      <c r="D23" s="6"/>
      <c r="E23" s="12"/>
      <c r="F23" s="31"/>
      <c r="G23" s="41"/>
      <c r="H23" s="42"/>
      <c r="I23" s="42"/>
      <c r="J23" s="43"/>
      <c r="K23" s="44"/>
      <c r="L23" s="76"/>
      <c r="M23" s="122"/>
      <c r="N23" s="122"/>
      <c r="O23" s="123"/>
      <c r="P23" s="124"/>
      <c r="Q23" s="76"/>
      <c r="R23" s="122"/>
      <c r="S23" s="122"/>
      <c r="T23" s="123"/>
      <c r="U23" s="124"/>
      <c r="V23" s="76"/>
      <c r="W23" s="122"/>
      <c r="X23" s="122"/>
      <c r="Y23" s="123"/>
      <c r="Z23" s="124"/>
    </row>
    <row r="24" spans="2:26" ht="12.75" hidden="1" customHeight="1" x14ac:dyDescent="0.2">
      <c r="B24" s="30"/>
      <c r="C24" s="6"/>
      <c r="D24" s="6"/>
      <c r="E24" s="12"/>
      <c r="F24" s="31"/>
      <c r="G24" s="41"/>
      <c r="H24" s="42"/>
      <c r="I24" s="42"/>
      <c r="J24" s="43"/>
      <c r="K24" s="44"/>
      <c r="L24" s="76"/>
      <c r="M24" s="122"/>
      <c r="N24" s="122"/>
      <c r="O24" s="123"/>
      <c r="P24" s="124"/>
      <c r="Q24" s="76"/>
      <c r="R24" s="122"/>
      <c r="S24" s="122"/>
      <c r="T24" s="123"/>
      <c r="U24" s="124"/>
      <c r="V24" s="76"/>
      <c r="W24" s="122"/>
      <c r="X24" s="122"/>
      <c r="Y24" s="123"/>
      <c r="Z24" s="124"/>
    </row>
    <row r="25" spans="2:26" ht="12.75" hidden="1" customHeight="1" x14ac:dyDescent="0.2">
      <c r="B25" s="30"/>
      <c r="C25" s="6"/>
      <c r="D25" s="6"/>
      <c r="E25" s="12"/>
      <c r="F25" s="31"/>
      <c r="G25" s="41"/>
      <c r="H25" s="42"/>
      <c r="I25" s="42"/>
      <c r="J25" s="43"/>
      <c r="K25" s="44"/>
      <c r="L25" s="76"/>
      <c r="M25" s="122"/>
      <c r="N25" s="122"/>
      <c r="O25" s="123"/>
      <c r="P25" s="124"/>
      <c r="Q25" s="76"/>
      <c r="R25" s="122"/>
      <c r="S25" s="122"/>
      <c r="T25" s="123"/>
      <c r="U25" s="124"/>
      <c r="V25" s="76"/>
      <c r="W25" s="122"/>
      <c r="X25" s="122"/>
      <c r="Y25" s="123"/>
      <c r="Z25" s="124"/>
    </row>
    <row r="26" spans="2:26" ht="12.75" hidden="1" customHeight="1" x14ac:dyDescent="0.2">
      <c r="B26" s="30"/>
      <c r="C26" s="6"/>
      <c r="D26" s="6"/>
      <c r="E26" s="12"/>
      <c r="F26" s="31"/>
      <c r="G26" s="41"/>
      <c r="H26" s="42"/>
      <c r="I26" s="42"/>
      <c r="J26" s="43"/>
      <c r="K26" s="44"/>
      <c r="L26" s="76"/>
      <c r="M26" s="122"/>
      <c r="N26" s="122"/>
      <c r="O26" s="123"/>
      <c r="P26" s="124"/>
      <c r="Q26" s="76"/>
      <c r="R26" s="122"/>
      <c r="S26" s="122"/>
      <c r="T26" s="123"/>
      <c r="U26" s="124"/>
      <c r="V26" s="76"/>
      <c r="W26" s="122"/>
      <c r="X26" s="122"/>
      <c r="Y26" s="123"/>
      <c r="Z26" s="124"/>
    </row>
    <row r="27" spans="2:26" ht="12.75" hidden="1" customHeight="1" x14ac:dyDescent="0.2">
      <c r="B27" s="30"/>
      <c r="C27" s="6"/>
      <c r="D27" s="6"/>
      <c r="E27" s="12"/>
      <c r="F27" s="31"/>
      <c r="G27" s="41"/>
      <c r="H27" s="42"/>
      <c r="I27" s="42"/>
      <c r="J27" s="43"/>
      <c r="K27" s="44"/>
      <c r="L27" s="76"/>
      <c r="M27" s="122"/>
      <c r="N27" s="122"/>
      <c r="O27" s="123"/>
      <c r="P27" s="124"/>
      <c r="Q27" s="76"/>
      <c r="R27" s="122"/>
      <c r="S27" s="122"/>
      <c r="T27" s="123"/>
      <c r="U27" s="124"/>
      <c r="V27" s="76"/>
      <c r="W27" s="122"/>
      <c r="X27" s="122"/>
      <c r="Y27" s="123"/>
      <c r="Z27" s="124"/>
    </row>
    <row r="28" spans="2:26" ht="12.75" hidden="1" customHeight="1" x14ac:dyDescent="0.2">
      <c r="B28" s="30"/>
      <c r="C28" s="6"/>
      <c r="D28" s="6"/>
      <c r="E28" s="12"/>
      <c r="F28" s="31"/>
      <c r="G28" s="41"/>
      <c r="H28" s="42"/>
      <c r="I28" s="42"/>
      <c r="J28" s="43"/>
      <c r="K28" s="44"/>
      <c r="L28" s="76"/>
      <c r="M28" s="122"/>
      <c r="N28" s="122"/>
      <c r="O28" s="123"/>
      <c r="P28" s="124"/>
      <c r="Q28" s="76"/>
      <c r="R28" s="122"/>
      <c r="S28" s="122"/>
      <c r="T28" s="123"/>
      <c r="U28" s="124"/>
      <c r="V28" s="76"/>
      <c r="W28" s="122"/>
      <c r="X28" s="122"/>
      <c r="Y28" s="123"/>
      <c r="Z28" s="124"/>
    </row>
    <row r="29" spans="2:26" ht="12.75" hidden="1" customHeight="1" x14ac:dyDescent="0.2">
      <c r="B29" s="30"/>
      <c r="C29" s="6"/>
      <c r="D29" s="6"/>
      <c r="E29" s="12"/>
      <c r="F29" s="31"/>
      <c r="G29" s="41"/>
      <c r="H29" s="42"/>
      <c r="I29" s="42"/>
      <c r="J29" s="43"/>
      <c r="K29" s="44"/>
      <c r="L29" s="76"/>
      <c r="M29" s="122"/>
      <c r="N29" s="122"/>
      <c r="O29" s="123"/>
      <c r="P29" s="124"/>
      <c r="Q29" s="76"/>
      <c r="R29" s="122"/>
      <c r="S29" s="122"/>
      <c r="T29" s="123"/>
      <c r="U29" s="124"/>
      <c r="V29" s="76"/>
      <c r="W29" s="122"/>
      <c r="X29" s="122"/>
      <c r="Y29" s="123"/>
      <c r="Z29" s="124"/>
    </row>
    <row r="30" spans="2:26" ht="12.75" hidden="1" customHeight="1" x14ac:dyDescent="0.2">
      <c r="B30" s="30"/>
      <c r="C30" s="6"/>
      <c r="D30" s="6"/>
      <c r="E30" s="12"/>
      <c r="F30" s="31"/>
      <c r="G30" s="41"/>
      <c r="H30" s="42"/>
      <c r="I30" s="42"/>
      <c r="J30" s="43"/>
      <c r="K30" s="44"/>
      <c r="L30" s="76"/>
      <c r="M30" s="122"/>
      <c r="N30" s="122"/>
      <c r="O30" s="123"/>
      <c r="P30" s="124"/>
      <c r="Q30" s="76"/>
      <c r="R30" s="122"/>
      <c r="S30" s="122"/>
      <c r="T30" s="123"/>
      <c r="U30" s="124"/>
      <c r="V30" s="76"/>
      <c r="W30" s="122"/>
      <c r="X30" s="122"/>
      <c r="Y30" s="123"/>
      <c r="Z30" s="124"/>
    </row>
    <row r="31" spans="2:26" ht="12.75" hidden="1" customHeight="1" x14ac:dyDescent="0.2">
      <c r="B31" s="30"/>
      <c r="C31" s="6"/>
      <c r="D31" s="6"/>
      <c r="E31" s="12"/>
      <c r="F31" s="31"/>
      <c r="G31" s="41"/>
      <c r="H31" s="42"/>
      <c r="I31" s="42"/>
      <c r="J31" s="43"/>
      <c r="K31" s="44"/>
      <c r="L31" s="76"/>
      <c r="M31" s="122"/>
      <c r="N31" s="122"/>
      <c r="O31" s="123"/>
      <c r="P31" s="124"/>
      <c r="Q31" s="76"/>
      <c r="R31" s="122"/>
      <c r="S31" s="122"/>
      <c r="T31" s="123"/>
      <c r="U31" s="124"/>
      <c r="V31" s="76"/>
      <c r="W31" s="122"/>
      <c r="X31" s="122"/>
      <c r="Y31" s="123"/>
      <c r="Z31" s="124"/>
    </row>
    <row r="32" spans="2:26" ht="12.75" hidden="1" customHeight="1" x14ac:dyDescent="0.2">
      <c r="B32" s="30"/>
      <c r="C32" s="6"/>
      <c r="D32" s="6"/>
      <c r="E32" s="12"/>
      <c r="F32" s="31"/>
      <c r="G32" s="41"/>
      <c r="H32" s="42"/>
      <c r="I32" s="42"/>
      <c r="J32" s="43"/>
      <c r="K32" s="44"/>
      <c r="L32" s="76"/>
      <c r="M32" s="122"/>
      <c r="N32" s="122"/>
      <c r="O32" s="123"/>
      <c r="P32" s="124"/>
      <c r="Q32" s="76"/>
      <c r="R32" s="122"/>
      <c r="S32" s="122"/>
      <c r="T32" s="123"/>
      <c r="U32" s="124"/>
      <c r="V32" s="76"/>
      <c r="W32" s="122"/>
      <c r="X32" s="122"/>
      <c r="Y32" s="123"/>
      <c r="Z32" s="124"/>
    </row>
    <row r="33" spans="1:26" ht="12.75" hidden="1" customHeight="1" x14ac:dyDescent="0.2">
      <c r="B33" s="30"/>
      <c r="C33" s="6"/>
      <c r="D33" s="6"/>
      <c r="E33" s="12"/>
      <c r="F33" s="31"/>
      <c r="G33" s="41"/>
      <c r="H33" s="42"/>
      <c r="I33" s="42"/>
      <c r="J33" s="43"/>
      <c r="K33" s="44"/>
      <c r="L33" s="76"/>
      <c r="M33" s="122"/>
      <c r="N33" s="122"/>
      <c r="O33" s="123"/>
      <c r="P33" s="124"/>
      <c r="Q33" s="76"/>
      <c r="R33" s="122"/>
      <c r="S33" s="122"/>
      <c r="T33" s="123"/>
      <c r="U33" s="124"/>
      <c r="V33" s="76"/>
      <c r="W33" s="122"/>
      <c r="X33" s="122"/>
      <c r="Y33" s="123"/>
      <c r="Z33" s="124"/>
    </row>
    <row r="34" spans="1:26" ht="12.75" hidden="1" customHeight="1" x14ac:dyDescent="0.2">
      <c r="B34" s="30"/>
      <c r="C34" s="6"/>
      <c r="D34" s="6"/>
      <c r="E34" s="12"/>
      <c r="F34" s="31"/>
      <c r="G34" s="41"/>
      <c r="H34" s="42"/>
      <c r="I34" s="42"/>
      <c r="J34" s="43"/>
      <c r="K34" s="44"/>
      <c r="L34" s="76"/>
      <c r="M34" s="122"/>
      <c r="N34" s="122"/>
      <c r="O34" s="123"/>
      <c r="P34" s="124"/>
      <c r="Q34" s="76"/>
      <c r="R34" s="122"/>
      <c r="S34" s="122"/>
      <c r="T34" s="123"/>
      <c r="U34" s="124"/>
      <c r="V34" s="76"/>
      <c r="W34" s="122"/>
      <c r="X34" s="122"/>
      <c r="Y34" s="123"/>
      <c r="Z34" s="124"/>
    </row>
    <row r="35" spans="1:26" ht="12.75" hidden="1" customHeight="1" x14ac:dyDescent="0.2">
      <c r="B35" s="30"/>
      <c r="C35" s="6"/>
      <c r="D35" s="6"/>
      <c r="E35" s="12"/>
      <c r="F35" s="31"/>
      <c r="G35" s="41"/>
      <c r="H35" s="42"/>
      <c r="I35" s="42"/>
      <c r="J35" s="43"/>
      <c r="K35" s="44"/>
      <c r="L35" s="76"/>
      <c r="M35" s="122"/>
      <c r="N35" s="122"/>
      <c r="O35" s="123"/>
      <c r="P35" s="124"/>
      <c r="Q35" s="76"/>
      <c r="R35" s="122"/>
      <c r="S35" s="122"/>
      <c r="T35" s="123"/>
      <c r="U35" s="124"/>
      <c r="V35" s="76"/>
      <c r="W35" s="122"/>
      <c r="X35" s="122"/>
      <c r="Y35" s="123"/>
      <c r="Z35" s="124"/>
    </row>
    <row r="36" spans="1:26" x14ac:dyDescent="0.2">
      <c r="A36" s="115" t="s">
        <v>2</v>
      </c>
      <c r="B36" s="32">
        <f>SUM(B$12:B$35)</f>
        <v>0</v>
      </c>
      <c r="C36" s="7">
        <f t="shared" ref="C36:E36" si="0">SUM(C$12:C$35)</f>
        <v>0</v>
      </c>
      <c r="D36" s="7">
        <f t="shared" si="0"/>
        <v>0</v>
      </c>
      <c r="E36" s="13">
        <f t="shared" si="0"/>
        <v>0</v>
      </c>
      <c r="F36" s="64">
        <f>SUM(F$12:F$35)</f>
        <v>1</v>
      </c>
      <c r="G36" s="45">
        <f>SUM(G$12:G$35)</f>
        <v>0</v>
      </c>
      <c r="H36" s="65">
        <f t="shared" ref="H36:J36" si="1">SUM(H$12:H$35)</f>
        <v>0</v>
      </c>
      <c r="I36" s="65">
        <f t="shared" si="1"/>
        <v>0</v>
      </c>
      <c r="J36" s="46">
        <f t="shared" si="1"/>
        <v>0</v>
      </c>
      <c r="K36" s="66">
        <f>SUM(K$12:K$35)</f>
        <v>1</v>
      </c>
      <c r="L36" s="77">
        <f>SUM(L$12:L$35)</f>
        <v>0</v>
      </c>
      <c r="M36" s="125">
        <f t="shared" ref="M36:O36" si="2">SUM(M$12:M$35)</f>
        <v>0</v>
      </c>
      <c r="N36" s="125">
        <f t="shared" si="2"/>
        <v>0</v>
      </c>
      <c r="O36" s="126">
        <f t="shared" si="2"/>
        <v>0</v>
      </c>
      <c r="P36" s="127">
        <f>SUM(P$12:P$35)</f>
        <v>0.99999999999999989</v>
      </c>
      <c r="Q36" s="77">
        <f t="shared" ref="Q36:T36" si="3">SUM(Q$12:Q$35)</f>
        <v>0</v>
      </c>
      <c r="R36" s="125">
        <f t="shared" si="3"/>
        <v>0</v>
      </c>
      <c r="S36" s="125">
        <f t="shared" si="3"/>
        <v>0</v>
      </c>
      <c r="T36" s="126">
        <f t="shared" si="3"/>
        <v>0</v>
      </c>
      <c r="U36" s="127">
        <f t="shared" ref="U36:Y36" si="4">SUM(U$12:U$35)</f>
        <v>0.99999999999300015</v>
      </c>
      <c r="V36" s="77">
        <f t="shared" si="4"/>
        <v>0</v>
      </c>
      <c r="W36" s="125">
        <f t="shared" si="4"/>
        <v>0</v>
      </c>
      <c r="X36" s="125">
        <f t="shared" si="4"/>
        <v>0</v>
      </c>
      <c r="Y36" s="126">
        <f t="shared" si="4"/>
        <v>0</v>
      </c>
      <c r="Z36" s="127">
        <f>SUM(Z$12:Z$35)</f>
        <v>1.0000100000000001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Liquidität</v>
      </c>
      <c r="B52" s="33"/>
      <c r="C52" s="8"/>
      <c r="D52" s="8"/>
      <c r="E52" s="14"/>
      <c r="F52" s="34">
        <v>3.1807414333650003E-2</v>
      </c>
      <c r="G52" s="47"/>
      <c r="H52" s="48"/>
      <c r="I52" s="48"/>
      <c r="J52" s="49"/>
      <c r="K52" s="50">
        <v>3.3107366244955978E-2</v>
      </c>
      <c r="L52" s="128"/>
      <c r="M52" s="129"/>
      <c r="N52" s="129"/>
      <c r="O52" s="130"/>
      <c r="P52" s="131">
        <v>3.7447845488888194E-2</v>
      </c>
      <c r="Q52" s="128"/>
      <c r="R52" s="129"/>
      <c r="S52" s="129"/>
      <c r="T52" s="130"/>
      <c r="U52" s="131">
        <v>4.5591717797999996E-2</v>
      </c>
      <c r="V52" s="128"/>
      <c r="W52" s="129"/>
      <c r="X52" s="129"/>
      <c r="Y52" s="130"/>
      <c r="Z52" s="131">
        <v>3.9980000000000002E-2</v>
      </c>
    </row>
    <row r="53" spans="1:26" x14ac:dyDescent="0.2">
      <c r="A53" s="114" t="str">
        <f>$A$13</f>
        <v>Forderungen</v>
      </c>
      <c r="B53" s="33"/>
      <c r="C53" s="8"/>
      <c r="D53" s="8"/>
      <c r="E53" s="14"/>
      <c r="F53" s="34">
        <v>0.38108427040072174</v>
      </c>
      <c r="G53" s="47"/>
      <c r="H53" s="48"/>
      <c r="I53" s="48"/>
      <c r="J53" s="49"/>
      <c r="K53" s="50">
        <v>0.39106467244137783</v>
      </c>
      <c r="L53" s="128"/>
      <c r="M53" s="129"/>
      <c r="N53" s="129"/>
      <c r="O53" s="130"/>
      <c r="P53" s="131">
        <v>0.39862663491363121</v>
      </c>
      <c r="Q53" s="128"/>
      <c r="R53" s="129"/>
      <c r="S53" s="129"/>
      <c r="T53" s="130"/>
      <c r="U53" s="131">
        <v>0.41140084665999999</v>
      </c>
      <c r="V53" s="128"/>
      <c r="W53" s="129"/>
      <c r="X53" s="129"/>
      <c r="Y53" s="130"/>
      <c r="Z53" s="131">
        <v>0.43021999999999999</v>
      </c>
    </row>
    <row r="54" spans="1:26" x14ac:dyDescent="0.2">
      <c r="A54" s="114" t="str">
        <f>$A$14</f>
        <v>Immobilien</v>
      </c>
      <c r="B54" s="33"/>
      <c r="C54" s="8"/>
      <c r="D54" s="8"/>
      <c r="E54" s="14"/>
      <c r="F54" s="34">
        <v>0.19584162395024191</v>
      </c>
      <c r="G54" s="47"/>
      <c r="H54" s="48"/>
      <c r="I54" s="48"/>
      <c r="J54" s="49"/>
      <c r="K54" s="50">
        <v>0.19080611073393045</v>
      </c>
      <c r="L54" s="128"/>
      <c r="M54" s="129"/>
      <c r="N54" s="129"/>
      <c r="O54" s="130"/>
      <c r="P54" s="131">
        <v>0.18618259548937985</v>
      </c>
      <c r="Q54" s="128"/>
      <c r="R54" s="129"/>
      <c r="S54" s="129"/>
      <c r="T54" s="130"/>
      <c r="U54" s="131">
        <v>0.17955283233</v>
      </c>
      <c r="V54" s="128"/>
      <c r="W54" s="129"/>
      <c r="X54" s="129"/>
      <c r="Y54" s="130"/>
      <c r="Z54" s="131">
        <v>0.17518</v>
      </c>
    </row>
    <row r="55" spans="1:26" x14ac:dyDescent="0.2">
      <c r="A55" s="114" t="str">
        <f>$A$15</f>
        <v>Aktien</v>
      </c>
      <c r="B55" s="33"/>
      <c r="C55" s="8"/>
      <c r="D55" s="8"/>
      <c r="E55" s="14"/>
      <c r="F55" s="34">
        <v>0.30215882012804673</v>
      </c>
      <c r="G55" s="47"/>
      <c r="H55" s="48"/>
      <c r="I55" s="48"/>
      <c r="J55" s="49"/>
      <c r="K55" s="50">
        <v>0.30015783555585579</v>
      </c>
      <c r="L55" s="128"/>
      <c r="M55" s="129"/>
      <c r="N55" s="129"/>
      <c r="O55" s="130"/>
      <c r="P55" s="131">
        <v>0.29591130031934954</v>
      </c>
      <c r="Q55" s="128"/>
      <c r="R55" s="129"/>
      <c r="S55" s="129"/>
      <c r="T55" s="130"/>
      <c r="U55" s="131">
        <v>0.28969132945999998</v>
      </c>
      <c r="V55" s="128"/>
      <c r="W55" s="129"/>
      <c r="X55" s="129"/>
      <c r="Y55" s="130"/>
      <c r="Z55" s="131">
        <v>0.28649000000000002</v>
      </c>
    </row>
    <row r="56" spans="1:26" x14ac:dyDescent="0.2">
      <c r="A56" s="114" t="str">
        <f>$A$16</f>
        <v>Alternative Anlagen</v>
      </c>
      <c r="B56" s="33"/>
      <c r="C56" s="8"/>
      <c r="D56" s="8"/>
      <c r="E56" s="14"/>
      <c r="F56" s="34">
        <v>8.9107871187339691E-2</v>
      </c>
      <c r="G56" s="47"/>
      <c r="H56" s="48"/>
      <c r="I56" s="48"/>
      <c r="J56" s="49"/>
      <c r="K56" s="50">
        <v>8.486401502388001E-2</v>
      </c>
      <c r="L56" s="128"/>
      <c r="M56" s="129"/>
      <c r="N56" s="129"/>
      <c r="O56" s="130"/>
      <c r="P56" s="131">
        <v>8.1831623788751084E-2</v>
      </c>
      <c r="Q56" s="128"/>
      <c r="R56" s="129"/>
      <c r="S56" s="129"/>
      <c r="T56" s="130"/>
      <c r="U56" s="131">
        <v>7.3763273753E-2</v>
      </c>
      <c r="V56" s="128"/>
      <c r="W56" s="129"/>
      <c r="X56" s="129"/>
      <c r="Y56" s="130"/>
      <c r="Z56" s="131">
        <v>6.8129999999999996E-2</v>
      </c>
    </row>
    <row r="57" spans="1:26" ht="12.75" hidden="1" customHeight="1" x14ac:dyDescent="0.2">
      <c r="A57" s="114">
        <f>$A$17</f>
        <v>0</v>
      </c>
      <c r="B57" s="33"/>
      <c r="C57" s="8"/>
      <c r="D57" s="8"/>
      <c r="E57" s="14"/>
      <c r="F57" s="34"/>
      <c r="G57" s="47"/>
      <c r="H57" s="48"/>
      <c r="I57" s="48"/>
      <c r="J57" s="49"/>
      <c r="K57" s="50"/>
      <c r="L57" s="128"/>
      <c r="M57" s="129"/>
      <c r="N57" s="129"/>
      <c r="O57" s="130"/>
      <c r="P57" s="131"/>
      <c r="Q57" s="128"/>
      <c r="R57" s="129"/>
      <c r="S57" s="129"/>
      <c r="T57" s="130"/>
      <c r="U57" s="131"/>
      <c r="V57" s="128"/>
      <c r="W57" s="129"/>
      <c r="X57" s="129"/>
      <c r="Y57" s="130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4"/>
      <c r="F58" s="34"/>
      <c r="G58" s="47"/>
      <c r="H58" s="48"/>
      <c r="I58" s="48"/>
      <c r="J58" s="49"/>
      <c r="K58" s="50"/>
      <c r="L58" s="128"/>
      <c r="M58" s="129"/>
      <c r="N58" s="129"/>
      <c r="O58" s="130"/>
      <c r="P58" s="131"/>
      <c r="Q58" s="128"/>
      <c r="R58" s="129"/>
      <c r="S58" s="129"/>
      <c r="T58" s="130"/>
      <c r="U58" s="131"/>
      <c r="V58" s="128"/>
      <c r="W58" s="129"/>
      <c r="X58" s="129"/>
      <c r="Y58" s="130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4"/>
      <c r="F59" s="34"/>
      <c r="G59" s="47"/>
      <c r="H59" s="48"/>
      <c r="I59" s="48"/>
      <c r="J59" s="49"/>
      <c r="K59" s="50"/>
      <c r="L59" s="128"/>
      <c r="M59" s="129"/>
      <c r="N59" s="129"/>
      <c r="O59" s="130"/>
      <c r="P59" s="131"/>
      <c r="Q59" s="128"/>
      <c r="R59" s="129"/>
      <c r="S59" s="129"/>
      <c r="T59" s="130"/>
      <c r="U59" s="131"/>
      <c r="V59" s="128"/>
      <c r="W59" s="129"/>
      <c r="X59" s="129"/>
      <c r="Y59" s="130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4"/>
      <c r="F60" s="34"/>
      <c r="G60" s="47"/>
      <c r="H60" s="48"/>
      <c r="I60" s="48"/>
      <c r="J60" s="49"/>
      <c r="K60" s="50"/>
      <c r="L60" s="128"/>
      <c r="M60" s="129"/>
      <c r="N60" s="129"/>
      <c r="O60" s="130"/>
      <c r="P60" s="131"/>
      <c r="Q60" s="128"/>
      <c r="R60" s="129"/>
      <c r="S60" s="129"/>
      <c r="T60" s="130"/>
      <c r="U60" s="131"/>
      <c r="V60" s="128"/>
      <c r="W60" s="129"/>
      <c r="X60" s="129"/>
      <c r="Y60" s="130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4"/>
      <c r="F61" s="34"/>
      <c r="G61" s="47"/>
      <c r="H61" s="48"/>
      <c r="I61" s="48"/>
      <c r="J61" s="49"/>
      <c r="K61" s="50"/>
      <c r="L61" s="128"/>
      <c r="M61" s="129"/>
      <c r="N61" s="129"/>
      <c r="O61" s="130"/>
      <c r="P61" s="131"/>
      <c r="Q61" s="128"/>
      <c r="R61" s="129"/>
      <c r="S61" s="129"/>
      <c r="T61" s="130"/>
      <c r="U61" s="131"/>
      <c r="V61" s="128"/>
      <c r="W61" s="129"/>
      <c r="X61" s="129"/>
      <c r="Y61" s="130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4"/>
      <c r="F62" s="34"/>
      <c r="G62" s="47"/>
      <c r="H62" s="48"/>
      <c r="I62" s="48"/>
      <c r="J62" s="49"/>
      <c r="K62" s="50"/>
      <c r="L62" s="128"/>
      <c r="M62" s="129"/>
      <c r="N62" s="129"/>
      <c r="O62" s="130"/>
      <c r="P62" s="131"/>
      <c r="Q62" s="128"/>
      <c r="R62" s="129"/>
      <c r="S62" s="129"/>
      <c r="T62" s="130"/>
      <c r="U62" s="131"/>
      <c r="V62" s="128"/>
      <c r="W62" s="129"/>
      <c r="X62" s="129"/>
      <c r="Y62" s="130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4"/>
      <c r="F63" s="34"/>
      <c r="G63" s="47"/>
      <c r="H63" s="48"/>
      <c r="I63" s="48"/>
      <c r="J63" s="49"/>
      <c r="K63" s="50"/>
      <c r="L63" s="128"/>
      <c r="M63" s="129"/>
      <c r="N63" s="129"/>
      <c r="O63" s="130"/>
      <c r="P63" s="131"/>
      <c r="Q63" s="128"/>
      <c r="R63" s="129"/>
      <c r="S63" s="129"/>
      <c r="T63" s="130"/>
      <c r="U63" s="131"/>
      <c r="V63" s="128"/>
      <c r="W63" s="129"/>
      <c r="X63" s="129"/>
      <c r="Y63" s="130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4"/>
      <c r="F64" s="34"/>
      <c r="G64" s="47"/>
      <c r="H64" s="48"/>
      <c r="I64" s="48"/>
      <c r="J64" s="49"/>
      <c r="K64" s="50"/>
      <c r="L64" s="128"/>
      <c r="M64" s="129"/>
      <c r="N64" s="129"/>
      <c r="O64" s="130"/>
      <c r="P64" s="131"/>
      <c r="Q64" s="128"/>
      <c r="R64" s="129"/>
      <c r="S64" s="129"/>
      <c r="T64" s="130"/>
      <c r="U64" s="131"/>
      <c r="V64" s="128"/>
      <c r="W64" s="129"/>
      <c r="X64" s="129"/>
      <c r="Y64" s="130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4"/>
      <c r="F65" s="34"/>
      <c r="G65" s="47"/>
      <c r="H65" s="48"/>
      <c r="I65" s="48"/>
      <c r="J65" s="49"/>
      <c r="K65" s="50"/>
      <c r="L65" s="128"/>
      <c r="M65" s="129"/>
      <c r="N65" s="129"/>
      <c r="O65" s="130"/>
      <c r="P65" s="131"/>
      <c r="Q65" s="128"/>
      <c r="R65" s="129"/>
      <c r="S65" s="129"/>
      <c r="T65" s="130"/>
      <c r="U65" s="131"/>
      <c r="V65" s="128"/>
      <c r="W65" s="129"/>
      <c r="X65" s="129"/>
      <c r="Y65" s="130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4"/>
      <c r="F66" s="34"/>
      <c r="G66" s="47"/>
      <c r="H66" s="48"/>
      <c r="I66" s="48"/>
      <c r="J66" s="49"/>
      <c r="K66" s="50"/>
      <c r="L66" s="128"/>
      <c r="M66" s="129"/>
      <c r="N66" s="129"/>
      <c r="O66" s="130"/>
      <c r="P66" s="131"/>
      <c r="Q66" s="128"/>
      <c r="R66" s="129"/>
      <c r="S66" s="129"/>
      <c r="T66" s="130"/>
      <c r="U66" s="131"/>
      <c r="V66" s="128"/>
      <c r="W66" s="129"/>
      <c r="X66" s="129"/>
      <c r="Y66" s="130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4"/>
      <c r="F67" s="34"/>
      <c r="G67" s="47"/>
      <c r="H67" s="48"/>
      <c r="I67" s="48"/>
      <c r="J67" s="49"/>
      <c r="K67" s="50"/>
      <c r="L67" s="128"/>
      <c r="M67" s="129"/>
      <c r="N67" s="129"/>
      <c r="O67" s="130"/>
      <c r="P67" s="131"/>
      <c r="Q67" s="128"/>
      <c r="R67" s="129"/>
      <c r="S67" s="129"/>
      <c r="T67" s="130"/>
      <c r="U67" s="131"/>
      <c r="V67" s="128"/>
      <c r="W67" s="129"/>
      <c r="X67" s="129"/>
      <c r="Y67" s="130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4"/>
      <c r="F68" s="34"/>
      <c r="G68" s="47"/>
      <c r="H68" s="48"/>
      <c r="I68" s="48"/>
      <c r="J68" s="49"/>
      <c r="K68" s="50"/>
      <c r="L68" s="128"/>
      <c r="M68" s="129"/>
      <c r="N68" s="129"/>
      <c r="O68" s="130"/>
      <c r="P68" s="131"/>
      <c r="Q68" s="128"/>
      <c r="R68" s="129"/>
      <c r="S68" s="129"/>
      <c r="T68" s="130"/>
      <c r="U68" s="131"/>
      <c r="V68" s="128"/>
      <c r="W68" s="129"/>
      <c r="X68" s="129"/>
      <c r="Y68" s="130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4"/>
      <c r="F69" s="34"/>
      <c r="G69" s="47"/>
      <c r="H69" s="48"/>
      <c r="I69" s="48"/>
      <c r="J69" s="49"/>
      <c r="K69" s="50"/>
      <c r="L69" s="128"/>
      <c r="M69" s="129"/>
      <c r="N69" s="129"/>
      <c r="O69" s="130"/>
      <c r="P69" s="131"/>
      <c r="Q69" s="128"/>
      <c r="R69" s="129"/>
      <c r="S69" s="129"/>
      <c r="T69" s="130"/>
      <c r="U69" s="131"/>
      <c r="V69" s="128"/>
      <c r="W69" s="129"/>
      <c r="X69" s="129"/>
      <c r="Y69" s="130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4"/>
      <c r="F70" s="34"/>
      <c r="G70" s="47"/>
      <c r="H70" s="48"/>
      <c r="I70" s="48"/>
      <c r="J70" s="49"/>
      <c r="K70" s="50"/>
      <c r="L70" s="128"/>
      <c r="M70" s="129"/>
      <c r="N70" s="129"/>
      <c r="O70" s="130"/>
      <c r="P70" s="131"/>
      <c r="Q70" s="128"/>
      <c r="R70" s="129"/>
      <c r="S70" s="129"/>
      <c r="T70" s="130"/>
      <c r="U70" s="131"/>
      <c r="V70" s="128"/>
      <c r="W70" s="129"/>
      <c r="X70" s="129"/>
      <c r="Y70" s="130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4"/>
      <c r="F71" s="34"/>
      <c r="G71" s="47"/>
      <c r="H71" s="48"/>
      <c r="I71" s="48"/>
      <c r="J71" s="49"/>
      <c r="K71" s="50"/>
      <c r="L71" s="128"/>
      <c r="M71" s="129"/>
      <c r="N71" s="129"/>
      <c r="O71" s="130"/>
      <c r="P71" s="131"/>
      <c r="Q71" s="128"/>
      <c r="R71" s="129"/>
      <c r="S71" s="129"/>
      <c r="T71" s="130"/>
      <c r="U71" s="131"/>
      <c r="V71" s="128"/>
      <c r="W71" s="129"/>
      <c r="X71" s="129"/>
      <c r="Y71" s="130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4"/>
      <c r="F72" s="34"/>
      <c r="G72" s="47"/>
      <c r="H72" s="48"/>
      <c r="I72" s="48"/>
      <c r="J72" s="49"/>
      <c r="K72" s="50"/>
      <c r="L72" s="128"/>
      <c r="M72" s="129"/>
      <c r="N72" s="129"/>
      <c r="O72" s="130"/>
      <c r="P72" s="131"/>
      <c r="Q72" s="128"/>
      <c r="R72" s="129"/>
      <c r="S72" s="129"/>
      <c r="T72" s="130"/>
      <c r="U72" s="131"/>
      <c r="V72" s="128"/>
      <c r="W72" s="129"/>
      <c r="X72" s="129"/>
      <c r="Y72" s="130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4"/>
      <c r="F73" s="34"/>
      <c r="G73" s="47"/>
      <c r="H73" s="48"/>
      <c r="I73" s="48"/>
      <c r="J73" s="49"/>
      <c r="K73" s="50"/>
      <c r="L73" s="128"/>
      <c r="M73" s="129"/>
      <c r="N73" s="129"/>
      <c r="O73" s="130"/>
      <c r="P73" s="131"/>
      <c r="Q73" s="128"/>
      <c r="R73" s="129"/>
      <c r="S73" s="129"/>
      <c r="T73" s="130"/>
      <c r="U73" s="131"/>
      <c r="V73" s="128"/>
      <c r="W73" s="129"/>
      <c r="X73" s="129"/>
      <c r="Y73" s="130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4"/>
      <c r="F74" s="34"/>
      <c r="G74" s="47"/>
      <c r="H74" s="48"/>
      <c r="I74" s="48"/>
      <c r="J74" s="49"/>
      <c r="K74" s="50"/>
      <c r="L74" s="128"/>
      <c r="M74" s="129"/>
      <c r="N74" s="129"/>
      <c r="O74" s="130"/>
      <c r="P74" s="131"/>
      <c r="Q74" s="128"/>
      <c r="R74" s="129"/>
      <c r="S74" s="129"/>
      <c r="T74" s="130"/>
      <c r="U74" s="131"/>
      <c r="V74" s="128"/>
      <c r="W74" s="129"/>
      <c r="X74" s="129"/>
      <c r="Y74" s="130"/>
      <c r="Z74" s="131"/>
    </row>
    <row r="75" spans="1:26" ht="12.75" hidden="1" customHeight="1" x14ac:dyDescent="0.2">
      <c r="B75" s="33"/>
      <c r="C75" s="8"/>
      <c r="D75" s="8"/>
      <c r="E75" s="14"/>
      <c r="F75" s="34"/>
      <c r="G75" s="47"/>
      <c r="H75" s="48"/>
      <c r="I75" s="48"/>
      <c r="J75" s="49"/>
      <c r="K75" s="50"/>
      <c r="L75" s="128"/>
      <c r="M75" s="129"/>
      <c r="N75" s="129"/>
      <c r="O75" s="130"/>
      <c r="P75" s="131"/>
      <c r="Q75" s="128"/>
      <c r="R75" s="129"/>
      <c r="S75" s="129"/>
      <c r="T75" s="130"/>
      <c r="U75" s="131"/>
      <c r="V75" s="128"/>
      <c r="W75" s="129"/>
      <c r="X75" s="129"/>
      <c r="Y75" s="130"/>
      <c r="Z75" s="131"/>
    </row>
    <row r="76" spans="1:26" x14ac:dyDescent="0.2">
      <c r="A76" s="115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">
        <f>SUM(E$52:E$75)</f>
        <v>0</v>
      </c>
      <c r="F76" s="67">
        <f t="shared" ref="F76" si="5">SUM(F$52:F$75)</f>
        <v>1</v>
      </c>
      <c r="G76" s="51">
        <f>SUM(G$52:G$75)</f>
        <v>0</v>
      </c>
      <c r="H76" s="68">
        <f>SUM(H$52:H$75)</f>
        <v>0</v>
      </c>
      <c r="I76" s="68">
        <f>SUM(I$52:I$75)</f>
        <v>0</v>
      </c>
      <c r="J76" s="52">
        <f>SUM(J$52:J$75)</f>
        <v>0</v>
      </c>
      <c r="K76" s="69">
        <f t="shared" ref="K76" si="6">SUM(K$52:K$75)</f>
        <v>1</v>
      </c>
      <c r="L76" s="132">
        <f>SUM(L$52:L$75)</f>
        <v>0</v>
      </c>
      <c r="M76" s="133">
        <f>SUM(M$52:M$75)</f>
        <v>0</v>
      </c>
      <c r="N76" s="133">
        <f>SUM(N$52:N$75)</f>
        <v>0</v>
      </c>
      <c r="O76" s="134">
        <f>SUM(O$52:O$75)</f>
        <v>0</v>
      </c>
      <c r="P76" s="135">
        <f t="shared" ref="P76:T76" si="7">SUM(P$52:P$75)</f>
        <v>0.99999999999999989</v>
      </c>
      <c r="Q76" s="132">
        <f t="shared" si="7"/>
        <v>0</v>
      </c>
      <c r="R76" s="133">
        <f t="shared" si="7"/>
        <v>0</v>
      </c>
      <c r="S76" s="133">
        <f t="shared" si="7"/>
        <v>0</v>
      </c>
      <c r="T76" s="134">
        <f t="shared" si="7"/>
        <v>0</v>
      </c>
      <c r="U76" s="135">
        <f t="shared" ref="U76:Y76" si="8">SUM(U$52:U$75)</f>
        <v>1.0000000000009999</v>
      </c>
      <c r="V76" s="132">
        <f t="shared" si="8"/>
        <v>0</v>
      </c>
      <c r="W76" s="133">
        <f t="shared" si="8"/>
        <v>0</v>
      </c>
      <c r="X76" s="133">
        <f t="shared" si="8"/>
        <v>0</v>
      </c>
      <c r="Y76" s="134">
        <f t="shared" si="8"/>
        <v>0</v>
      </c>
      <c r="Z76" s="135">
        <f>SUM(Z$52:Z$75)</f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Liquidität</v>
      </c>
      <c r="B92" s="36"/>
      <c r="C92" s="10"/>
      <c r="D92" s="10"/>
      <c r="E92" s="16"/>
      <c r="F92" s="37">
        <v>3.1770296617421923E-2</v>
      </c>
      <c r="G92" s="53"/>
      <c r="H92" s="54"/>
      <c r="I92" s="54"/>
      <c r="J92" s="55"/>
      <c r="K92" s="56">
        <v>2.4852365007414473E-2</v>
      </c>
      <c r="L92" s="136"/>
      <c r="M92" s="137"/>
      <c r="N92" s="137"/>
      <c r="O92" s="138"/>
      <c r="P92" s="139">
        <v>3.0818896464000878E-2</v>
      </c>
      <c r="Q92" s="136"/>
      <c r="R92" s="137"/>
      <c r="S92" s="137"/>
      <c r="T92" s="138"/>
      <c r="U92" s="139">
        <v>4.024154295E-2</v>
      </c>
      <c r="V92" s="136"/>
      <c r="W92" s="137"/>
      <c r="X92" s="137"/>
      <c r="Y92" s="138"/>
      <c r="Z92" s="139">
        <v>3.7839999999999999E-2</v>
      </c>
    </row>
    <row r="93" spans="1:26" x14ac:dyDescent="0.2">
      <c r="A93" s="114" t="str">
        <f>$A$13</f>
        <v>Forderungen</v>
      </c>
      <c r="B93" s="36"/>
      <c r="C93" s="10"/>
      <c r="D93" s="10"/>
      <c r="E93" s="16"/>
      <c r="F93" s="37">
        <v>0.35088716487189331</v>
      </c>
      <c r="G93" s="53"/>
      <c r="H93" s="54"/>
      <c r="I93" s="54"/>
      <c r="J93" s="55"/>
      <c r="K93" s="56">
        <v>0.3584227095604185</v>
      </c>
      <c r="L93" s="136"/>
      <c r="M93" s="137"/>
      <c r="N93" s="137"/>
      <c r="O93" s="138"/>
      <c r="P93" s="139">
        <v>0.36551169846458104</v>
      </c>
      <c r="Q93" s="136"/>
      <c r="R93" s="137"/>
      <c r="S93" s="137"/>
      <c r="T93" s="138"/>
      <c r="U93" s="139">
        <v>0.37396467975999997</v>
      </c>
      <c r="V93" s="136"/>
      <c r="W93" s="137"/>
      <c r="X93" s="137"/>
      <c r="Y93" s="138"/>
      <c r="Z93" s="139">
        <v>0.37363000000000002</v>
      </c>
    </row>
    <row r="94" spans="1:26" x14ac:dyDescent="0.2">
      <c r="A94" s="114" t="str">
        <f>$A$14</f>
        <v>Immobilien</v>
      </c>
      <c r="B94" s="36"/>
      <c r="C94" s="10"/>
      <c r="D94" s="10"/>
      <c r="E94" s="16"/>
      <c r="F94" s="37">
        <v>0.24238983893427923</v>
      </c>
      <c r="G94" s="53"/>
      <c r="H94" s="54"/>
      <c r="I94" s="54"/>
      <c r="J94" s="55"/>
      <c r="K94" s="56">
        <v>0.24650299183919161</v>
      </c>
      <c r="L94" s="136"/>
      <c r="M94" s="137"/>
      <c r="N94" s="137"/>
      <c r="O94" s="138"/>
      <c r="P94" s="139">
        <v>0.24440931442363384</v>
      </c>
      <c r="Q94" s="136"/>
      <c r="R94" s="137"/>
      <c r="S94" s="137"/>
      <c r="T94" s="138"/>
      <c r="U94" s="139">
        <v>0.23377457376999999</v>
      </c>
      <c r="V94" s="136"/>
      <c r="W94" s="137"/>
      <c r="X94" s="137"/>
      <c r="Y94" s="138"/>
      <c r="Z94" s="139">
        <v>0.23569999999999999</v>
      </c>
    </row>
    <row r="95" spans="1:26" x14ac:dyDescent="0.2">
      <c r="A95" s="114" t="str">
        <f>$A$15</f>
        <v>Aktien</v>
      </c>
      <c r="B95" s="36"/>
      <c r="C95" s="10"/>
      <c r="D95" s="10"/>
      <c r="E95" s="16"/>
      <c r="F95" s="37">
        <v>0.30807250093846617</v>
      </c>
      <c r="G95" s="53"/>
      <c r="H95" s="54"/>
      <c r="I95" s="54"/>
      <c r="J95" s="55"/>
      <c r="K95" s="56">
        <v>0.30655928335025417</v>
      </c>
      <c r="L95" s="136"/>
      <c r="M95" s="137"/>
      <c r="N95" s="137"/>
      <c r="O95" s="138"/>
      <c r="P95" s="139">
        <v>0.29797797767080025</v>
      </c>
      <c r="Q95" s="136"/>
      <c r="R95" s="137"/>
      <c r="S95" s="137"/>
      <c r="T95" s="138"/>
      <c r="U95" s="139">
        <v>0.29461506248999997</v>
      </c>
      <c r="V95" s="136"/>
      <c r="W95" s="137"/>
      <c r="X95" s="137"/>
      <c r="Y95" s="138"/>
      <c r="Z95" s="139">
        <v>0.29357</v>
      </c>
    </row>
    <row r="96" spans="1:26" x14ac:dyDescent="0.2">
      <c r="A96" s="114" t="str">
        <f>$A$16</f>
        <v>Alternative Anlagen</v>
      </c>
      <c r="B96" s="36"/>
      <c r="C96" s="10"/>
      <c r="D96" s="10"/>
      <c r="E96" s="16"/>
      <c r="F96" s="37">
        <v>6.6880198637939439E-2</v>
      </c>
      <c r="G96" s="53"/>
      <c r="H96" s="54"/>
      <c r="I96" s="54"/>
      <c r="J96" s="55"/>
      <c r="K96" s="56">
        <v>6.3662650242721192E-2</v>
      </c>
      <c r="L96" s="136"/>
      <c r="M96" s="137"/>
      <c r="N96" s="137"/>
      <c r="O96" s="138"/>
      <c r="P96" s="139">
        <v>6.128211297698382E-2</v>
      </c>
      <c r="Q96" s="136"/>
      <c r="R96" s="137"/>
      <c r="S96" s="137"/>
      <c r="T96" s="138"/>
      <c r="U96" s="139">
        <v>5.7404141026999998E-2</v>
      </c>
      <c r="V96" s="136"/>
      <c r="W96" s="137"/>
      <c r="X96" s="137"/>
      <c r="Y96" s="138"/>
      <c r="Z96" s="139">
        <v>5.9269999999999996E-2</v>
      </c>
    </row>
    <row r="97" spans="1:26" ht="12.75" hidden="1" customHeight="1" x14ac:dyDescent="0.2">
      <c r="A97" s="114">
        <f>$A$17</f>
        <v>0</v>
      </c>
      <c r="B97" s="36"/>
      <c r="C97" s="10"/>
      <c r="D97" s="10"/>
      <c r="E97" s="16"/>
      <c r="F97" s="37"/>
      <c r="G97" s="53"/>
      <c r="H97" s="54"/>
      <c r="I97" s="54"/>
      <c r="J97" s="55"/>
      <c r="K97" s="56"/>
      <c r="L97" s="136"/>
      <c r="M97" s="137"/>
      <c r="N97" s="137"/>
      <c r="O97" s="138"/>
      <c r="P97" s="139"/>
      <c r="Q97" s="136"/>
      <c r="R97" s="137"/>
      <c r="S97" s="137"/>
      <c r="T97" s="138"/>
      <c r="U97" s="139"/>
      <c r="V97" s="136"/>
      <c r="W97" s="137"/>
      <c r="X97" s="137"/>
      <c r="Y97" s="138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6"/>
      <c r="F98" s="37"/>
      <c r="G98" s="53"/>
      <c r="H98" s="54"/>
      <c r="I98" s="54"/>
      <c r="J98" s="55"/>
      <c r="K98" s="56"/>
      <c r="L98" s="136"/>
      <c r="M98" s="137"/>
      <c r="N98" s="137"/>
      <c r="O98" s="138"/>
      <c r="P98" s="139"/>
      <c r="Q98" s="136"/>
      <c r="R98" s="137"/>
      <c r="S98" s="137"/>
      <c r="T98" s="138"/>
      <c r="U98" s="139"/>
      <c r="V98" s="136"/>
      <c r="W98" s="137"/>
      <c r="X98" s="137"/>
      <c r="Y98" s="138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6"/>
      <c r="F99" s="37"/>
      <c r="G99" s="53"/>
      <c r="H99" s="54"/>
      <c r="I99" s="54"/>
      <c r="J99" s="55"/>
      <c r="K99" s="56"/>
      <c r="L99" s="136"/>
      <c r="M99" s="137"/>
      <c r="N99" s="137"/>
      <c r="O99" s="138"/>
      <c r="P99" s="139"/>
      <c r="Q99" s="136"/>
      <c r="R99" s="137"/>
      <c r="S99" s="137"/>
      <c r="T99" s="138"/>
      <c r="U99" s="139"/>
      <c r="V99" s="136"/>
      <c r="W99" s="137"/>
      <c r="X99" s="137"/>
      <c r="Y99" s="138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6"/>
      <c r="F100" s="37"/>
      <c r="G100" s="53"/>
      <c r="H100" s="54"/>
      <c r="I100" s="54"/>
      <c r="J100" s="55"/>
      <c r="K100" s="56"/>
      <c r="L100" s="136"/>
      <c r="M100" s="137"/>
      <c r="N100" s="137"/>
      <c r="O100" s="138"/>
      <c r="P100" s="139"/>
      <c r="Q100" s="136"/>
      <c r="R100" s="137"/>
      <c r="S100" s="137"/>
      <c r="T100" s="138"/>
      <c r="U100" s="139"/>
      <c r="V100" s="136"/>
      <c r="W100" s="137"/>
      <c r="X100" s="137"/>
      <c r="Y100" s="138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6"/>
      <c r="F101" s="37"/>
      <c r="G101" s="53"/>
      <c r="H101" s="54"/>
      <c r="I101" s="54"/>
      <c r="J101" s="55"/>
      <c r="K101" s="56"/>
      <c r="L101" s="136"/>
      <c r="M101" s="137"/>
      <c r="N101" s="137"/>
      <c r="O101" s="138"/>
      <c r="P101" s="139"/>
      <c r="Q101" s="136"/>
      <c r="R101" s="137"/>
      <c r="S101" s="137"/>
      <c r="T101" s="138"/>
      <c r="U101" s="139"/>
      <c r="V101" s="136"/>
      <c r="W101" s="137"/>
      <c r="X101" s="137"/>
      <c r="Y101" s="138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6"/>
      <c r="F102" s="37"/>
      <c r="G102" s="53"/>
      <c r="H102" s="54"/>
      <c r="I102" s="54"/>
      <c r="J102" s="55"/>
      <c r="K102" s="56"/>
      <c r="L102" s="136"/>
      <c r="M102" s="137"/>
      <c r="N102" s="137"/>
      <c r="O102" s="138"/>
      <c r="P102" s="139"/>
      <c r="Q102" s="136"/>
      <c r="R102" s="137"/>
      <c r="S102" s="137"/>
      <c r="T102" s="138"/>
      <c r="U102" s="139"/>
      <c r="V102" s="136"/>
      <c r="W102" s="137"/>
      <c r="X102" s="137"/>
      <c r="Y102" s="138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6"/>
      <c r="F103" s="37"/>
      <c r="G103" s="53"/>
      <c r="H103" s="54"/>
      <c r="I103" s="54"/>
      <c r="J103" s="55"/>
      <c r="K103" s="56"/>
      <c r="L103" s="136"/>
      <c r="M103" s="137"/>
      <c r="N103" s="137"/>
      <c r="O103" s="138"/>
      <c r="P103" s="139"/>
      <c r="Q103" s="136"/>
      <c r="R103" s="137"/>
      <c r="S103" s="137"/>
      <c r="T103" s="138"/>
      <c r="U103" s="139"/>
      <c r="V103" s="136"/>
      <c r="W103" s="137"/>
      <c r="X103" s="137"/>
      <c r="Y103" s="138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6"/>
      <c r="F104" s="37"/>
      <c r="G104" s="53"/>
      <c r="H104" s="54"/>
      <c r="I104" s="54"/>
      <c r="J104" s="55"/>
      <c r="K104" s="56"/>
      <c r="L104" s="136"/>
      <c r="M104" s="137"/>
      <c r="N104" s="137"/>
      <c r="O104" s="138"/>
      <c r="P104" s="139"/>
      <c r="Q104" s="136"/>
      <c r="R104" s="137"/>
      <c r="S104" s="137"/>
      <c r="T104" s="138"/>
      <c r="U104" s="139"/>
      <c r="V104" s="136"/>
      <c r="W104" s="137"/>
      <c r="X104" s="137"/>
      <c r="Y104" s="138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6"/>
      <c r="F105" s="37"/>
      <c r="G105" s="53"/>
      <c r="H105" s="54"/>
      <c r="I105" s="54"/>
      <c r="J105" s="55"/>
      <c r="K105" s="56"/>
      <c r="L105" s="136"/>
      <c r="M105" s="137"/>
      <c r="N105" s="137"/>
      <c r="O105" s="138"/>
      <c r="P105" s="139"/>
      <c r="Q105" s="136"/>
      <c r="R105" s="137"/>
      <c r="S105" s="137"/>
      <c r="T105" s="138"/>
      <c r="U105" s="139"/>
      <c r="V105" s="136"/>
      <c r="W105" s="137"/>
      <c r="X105" s="137"/>
      <c r="Y105" s="138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6"/>
      <c r="F106" s="37"/>
      <c r="G106" s="53"/>
      <c r="H106" s="54"/>
      <c r="I106" s="54"/>
      <c r="J106" s="55"/>
      <c r="K106" s="56"/>
      <c r="L106" s="136"/>
      <c r="M106" s="137"/>
      <c r="N106" s="137"/>
      <c r="O106" s="138"/>
      <c r="P106" s="139"/>
      <c r="Q106" s="136"/>
      <c r="R106" s="137"/>
      <c r="S106" s="137"/>
      <c r="T106" s="138"/>
      <c r="U106" s="139"/>
      <c r="V106" s="136"/>
      <c r="W106" s="137"/>
      <c r="X106" s="137"/>
      <c r="Y106" s="138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6"/>
      <c r="F107" s="37"/>
      <c r="G107" s="53"/>
      <c r="H107" s="54"/>
      <c r="I107" s="54"/>
      <c r="J107" s="55"/>
      <c r="K107" s="56"/>
      <c r="L107" s="136"/>
      <c r="M107" s="137"/>
      <c r="N107" s="137"/>
      <c r="O107" s="138"/>
      <c r="P107" s="139"/>
      <c r="Q107" s="136"/>
      <c r="R107" s="137"/>
      <c r="S107" s="137"/>
      <c r="T107" s="138"/>
      <c r="U107" s="139"/>
      <c r="V107" s="136"/>
      <c r="W107" s="137"/>
      <c r="X107" s="137"/>
      <c r="Y107" s="138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6"/>
      <c r="F108" s="37"/>
      <c r="G108" s="53"/>
      <c r="H108" s="54"/>
      <c r="I108" s="54"/>
      <c r="J108" s="55"/>
      <c r="K108" s="56"/>
      <c r="L108" s="136"/>
      <c r="M108" s="137"/>
      <c r="N108" s="137"/>
      <c r="O108" s="138"/>
      <c r="P108" s="139"/>
      <c r="Q108" s="136"/>
      <c r="R108" s="137"/>
      <c r="S108" s="137"/>
      <c r="T108" s="138"/>
      <c r="U108" s="139"/>
      <c r="V108" s="136"/>
      <c r="W108" s="137"/>
      <c r="X108" s="137"/>
      <c r="Y108" s="138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6"/>
      <c r="F109" s="37"/>
      <c r="G109" s="53"/>
      <c r="H109" s="54"/>
      <c r="I109" s="54"/>
      <c r="J109" s="55"/>
      <c r="K109" s="56"/>
      <c r="L109" s="136"/>
      <c r="M109" s="137"/>
      <c r="N109" s="137"/>
      <c r="O109" s="138"/>
      <c r="P109" s="139"/>
      <c r="Q109" s="136"/>
      <c r="R109" s="137"/>
      <c r="S109" s="137"/>
      <c r="T109" s="138"/>
      <c r="U109" s="139"/>
      <c r="V109" s="136"/>
      <c r="W109" s="137"/>
      <c r="X109" s="137"/>
      <c r="Y109" s="138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6"/>
      <c r="F110" s="37"/>
      <c r="G110" s="53"/>
      <c r="H110" s="54"/>
      <c r="I110" s="54"/>
      <c r="J110" s="55"/>
      <c r="K110" s="56"/>
      <c r="L110" s="136"/>
      <c r="M110" s="137"/>
      <c r="N110" s="137"/>
      <c r="O110" s="138"/>
      <c r="P110" s="139"/>
      <c r="Q110" s="136"/>
      <c r="R110" s="137"/>
      <c r="S110" s="137"/>
      <c r="T110" s="138"/>
      <c r="U110" s="139"/>
      <c r="V110" s="136"/>
      <c r="W110" s="137"/>
      <c r="X110" s="137"/>
      <c r="Y110" s="138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6"/>
      <c r="F111" s="37"/>
      <c r="G111" s="53"/>
      <c r="H111" s="54"/>
      <c r="I111" s="54"/>
      <c r="J111" s="55"/>
      <c r="K111" s="56"/>
      <c r="L111" s="136"/>
      <c r="M111" s="137"/>
      <c r="N111" s="137"/>
      <c r="O111" s="138"/>
      <c r="P111" s="139"/>
      <c r="Q111" s="136"/>
      <c r="R111" s="137"/>
      <c r="S111" s="137"/>
      <c r="T111" s="138"/>
      <c r="U111" s="139"/>
      <c r="V111" s="136"/>
      <c r="W111" s="137"/>
      <c r="X111" s="137"/>
      <c r="Y111" s="138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6"/>
      <c r="F112" s="37"/>
      <c r="G112" s="53"/>
      <c r="H112" s="54"/>
      <c r="I112" s="54"/>
      <c r="J112" s="55"/>
      <c r="K112" s="56"/>
      <c r="L112" s="136"/>
      <c r="M112" s="137"/>
      <c r="N112" s="137"/>
      <c r="O112" s="138"/>
      <c r="P112" s="139"/>
      <c r="Q112" s="136"/>
      <c r="R112" s="137"/>
      <c r="S112" s="137"/>
      <c r="T112" s="138"/>
      <c r="U112" s="139"/>
      <c r="V112" s="136"/>
      <c r="W112" s="137"/>
      <c r="X112" s="137"/>
      <c r="Y112" s="138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6"/>
      <c r="F113" s="37"/>
      <c r="G113" s="53"/>
      <c r="H113" s="54"/>
      <c r="I113" s="54"/>
      <c r="J113" s="55"/>
      <c r="K113" s="56"/>
      <c r="L113" s="136"/>
      <c r="M113" s="137"/>
      <c r="N113" s="137"/>
      <c r="O113" s="138"/>
      <c r="P113" s="139"/>
      <c r="Q113" s="136"/>
      <c r="R113" s="137"/>
      <c r="S113" s="137"/>
      <c r="T113" s="138"/>
      <c r="U113" s="139"/>
      <c r="V113" s="136"/>
      <c r="W113" s="137"/>
      <c r="X113" s="137"/>
      <c r="Y113" s="138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6"/>
      <c r="F114" s="37"/>
      <c r="G114" s="53"/>
      <c r="H114" s="54"/>
      <c r="I114" s="54"/>
      <c r="J114" s="55"/>
      <c r="K114" s="56"/>
      <c r="L114" s="136"/>
      <c r="M114" s="137"/>
      <c r="N114" s="137"/>
      <c r="O114" s="138"/>
      <c r="P114" s="139"/>
      <c r="Q114" s="136"/>
      <c r="R114" s="137"/>
      <c r="S114" s="137"/>
      <c r="T114" s="138"/>
      <c r="U114" s="139"/>
      <c r="V114" s="136"/>
      <c r="W114" s="137"/>
      <c r="X114" s="137"/>
      <c r="Y114" s="138"/>
      <c r="Z114" s="139"/>
    </row>
    <row r="115" spans="1:26" ht="12.75" hidden="1" customHeight="1" x14ac:dyDescent="0.2">
      <c r="B115" s="36"/>
      <c r="C115" s="10"/>
      <c r="D115" s="10"/>
      <c r="E115" s="16"/>
      <c r="F115" s="37"/>
      <c r="G115" s="53"/>
      <c r="H115" s="54"/>
      <c r="I115" s="54"/>
      <c r="J115" s="55"/>
      <c r="K115" s="56"/>
      <c r="L115" s="136"/>
      <c r="M115" s="137"/>
      <c r="N115" s="137"/>
      <c r="O115" s="138"/>
      <c r="P115" s="139"/>
      <c r="Q115" s="136"/>
      <c r="R115" s="137"/>
      <c r="S115" s="137"/>
      <c r="T115" s="138"/>
      <c r="U115" s="139"/>
      <c r="V115" s="136"/>
      <c r="W115" s="137"/>
      <c r="X115" s="137"/>
      <c r="Y115" s="138"/>
      <c r="Z115" s="139"/>
    </row>
    <row r="116" spans="1:26" x14ac:dyDescent="0.2">
      <c r="A116" s="115" t="s">
        <v>2</v>
      </c>
      <c r="B116" s="38">
        <f>SUM(B$92:B$115)</f>
        <v>0</v>
      </c>
      <c r="C116" s="11">
        <f>SUM(C$92:C$115)</f>
        <v>0</v>
      </c>
      <c r="D116" s="11">
        <f>SUM(D$92:D$115)</f>
        <v>0</v>
      </c>
      <c r="E116" s="17">
        <f>SUM(E$92:E$115)</f>
        <v>0</v>
      </c>
      <c r="F116" s="70">
        <f t="shared" ref="F116" si="9">SUM(F$92:F$115)</f>
        <v>1</v>
      </c>
      <c r="G116" s="57">
        <f>SUM(G$92:G$115)</f>
        <v>0</v>
      </c>
      <c r="H116" s="71">
        <f>SUM(H$92:H$115)</f>
        <v>0</v>
      </c>
      <c r="I116" s="71">
        <f>SUM(I$92:I$115)</f>
        <v>0</v>
      </c>
      <c r="J116" s="58">
        <f>SUM(J$92:J$115)</f>
        <v>0</v>
      </c>
      <c r="K116" s="72">
        <f t="shared" ref="K116" si="10">SUM(K$92:K$115)</f>
        <v>0.99999999999999989</v>
      </c>
      <c r="L116" s="140">
        <f>SUM(L$92:L$115)</f>
        <v>0</v>
      </c>
      <c r="M116" s="141">
        <f>SUM(M$92:M$115)</f>
        <v>0</v>
      </c>
      <c r="N116" s="141">
        <f>SUM(N$92:N$115)</f>
        <v>0</v>
      </c>
      <c r="O116" s="142">
        <f>SUM(O$92:O$115)</f>
        <v>0</v>
      </c>
      <c r="P116" s="143">
        <f t="shared" ref="P116:T116" si="11">SUM(P$92:P$115)</f>
        <v>0.99999999999999978</v>
      </c>
      <c r="Q116" s="140">
        <f t="shared" si="11"/>
        <v>0</v>
      </c>
      <c r="R116" s="141">
        <f t="shared" si="11"/>
        <v>0</v>
      </c>
      <c r="S116" s="141">
        <f t="shared" si="11"/>
        <v>0</v>
      </c>
      <c r="T116" s="142">
        <f t="shared" si="11"/>
        <v>0</v>
      </c>
      <c r="U116" s="143">
        <f t="shared" ref="U116:Y116" si="12">SUM(U$92:U$115)</f>
        <v>0.99999999999699984</v>
      </c>
      <c r="V116" s="140">
        <f t="shared" si="12"/>
        <v>0</v>
      </c>
      <c r="W116" s="141">
        <f t="shared" si="12"/>
        <v>0</v>
      </c>
      <c r="X116" s="141">
        <f t="shared" si="12"/>
        <v>0</v>
      </c>
      <c r="Y116" s="142">
        <f t="shared" si="12"/>
        <v>0</v>
      </c>
      <c r="Z116" s="143">
        <f>SUM(Z$92:Z$115)</f>
        <v>1.0000100000000001</v>
      </c>
    </row>
  </sheetData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88" orientation="landscape" cellComments="atEnd" r:id="rId1"/>
  <headerFooter>
    <oddFooter>&amp;L&amp;10&amp;F / &amp;A&amp;C&amp;10&amp;H&amp;P / &amp;N&amp;R&amp;10OAK BV - RM / 10.05.2016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2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Translation!$A$267</f>
        <v>Sachwertanteile der Anlagestrategien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</row>
    <row r="12" spans="1:26" x14ac:dyDescent="0.2">
      <c r="A12" s="114" t="str">
        <f>Translation!$A268</f>
        <v>nicht definiert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7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7" si="1">J12/J$36</f>
        <v>0.11374397771050686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7" si="2">O12/O$36</f>
        <v>0.11985337695814698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7" si="3">T12/T$36</f>
        <v>0.12720269876653947</v>
      </c>
      <c r="V12" s="76">
        <v>165</v>
      </c>
      <c r="W12" s="122">
        <v>1041650</v>
      </c>
      <c r="X12" s="122">
        <v>90221</v>
      </c>
      <c r="Y12" s="167">
        <v>44874.271999999997</v>
      </c>
      <c r="Z12" s="124">
        <f t="shared" ref="Z12:Z17" si="4">Y12/Y$36</f>
        <v>6.0197170764879411E-2</v>
      </c>
    </row>
    <row r="13" spans="1:26" x14ac:dyDescent="0.2">
      <c r="A13" s="114" t="str">
        <f>Translation!$A291</f>
        <v>unter 40%</v>
      </c>
      <c r="B13" s="30">
        <v>140</v>
      </c>
      <c r="C13" s="6">
        <v>148254</v>
      </c>
      <c r="D13" s="6">
        <v>52160</v>
      </c>
      <c r="E13" s="150">
        <v>40214.291999999994</v>
      </c>
      <c r="F13" s="31">
        <f t="shared" si="0"/>
        <v>4.4519911324871743E-2</v>
      </c>
      <c r="G13" s="41">
        <v>171</v>
      </c>
      <c r="H13" s="42">
        <v>220289</v>
      </c>
      <c r="I13" s="42">
        <v>95154</v>
      </c>
      <c r="J13" s="160">
        <v>78361.737999999998</v>
      </c>
      <c r="K13" s="44">
        <f t="shared" si="1"/>
        <v>9.1111398947190655E-2</v>
      </c>
      <c r="L13" s="76">
        <v>208</v>
      </c>
      <c r="M13" s="122">
        <v>227801</v>
      </c>
      <c r="N13" s="122">
        <v>97276</v>
      </c>
      <c r="O13" s="167">
        <v>78383.697</v>
      </c>
      <c r="P13" s="124">
        <f t="shared" si="2"/>
        <v>9.5214826208814066E-2</v>
      </c>
      <c r="Q13" s="76">
        <v>256</v>
      </c>
      <c r="R13" s="122">
        <v>284611</v>
      </c>
      <c r="S13" s="122">
        <v>77109</v>
      </c>
      <c r="T13" s="167">
        <v>61911.226999999999</v>
      </c>
      <c r="U13" s="124">
        <f t="shared" si="3"/>
        <v>7.7001043299306057E-2</v>
      </c>
      <c r="V13" s="76">
        <v>284</v>
      </c>
      <c r="W13" s="122">
        <v>275990</v>
      </c>
      <c r="X13" s="122">
        <v>65055</v>
      </c>
      <c r="Y13" s="167">
        <v>77726.663</v>
      </c>
      <c r="Z13" s="124">
        <f t="shared" si="4"/>
        <v>0.10426743425710025</v>
      </c>
    </row>
    <row r="14" spans="1:26" x14ac:dyDescent="0.2">
      <c r="A14" s="114" t="str">
        <f>Translation!$A292</f>
        <v>40% – 49%</v>
      </c>
      <c r="B14" s="30">
        <v>223</v>
      </c>
      <c r="C14" s="6">
        <v>330035</v>
      </c>
      <c r="D14" s="6">
        <v>148649</v>
      </c>
      <c r="E14" s="150">
        <v>129175.614</v>
      </c>
      <c r="F14" s="31">
        <f t="shared" si="0"/>
        <v>0.14300604572662531</v>
      </c>
      <c r="G14" s="41">
        <v>256</v>
      </c>
      <c r="H14" s="42">
        <v>280694</v>
      </c>
      <c r="I14" s="42">
        <v>105794</v>
      </c>
      <c r="J14" s="160">
        <v>88959.275999999998</v>
      </c>
      <c r="K14" s="44">
        <f t="shared" si="1"/>
        <v>0.10343318426257013</v>
      </c>
      <c r="L14" s="76">
        <v>332</v>
      </c>
      <c r="M14" s="122">
        <v>377489</v>
      </c>
      <c r="N14" s="122">
        <v>128506</v>
      </c>
      <c r="O14" s="167">
        <v>112807.37700000001</v>
      </c>
      <c r="P14" s="124">
        <f t="shared" si="2"/>
        <v>0.13703021428202308</v>
      </c>
      <c r="Q14" s="76">
        <v>383</v>
      </c>
      <c r="R14" s="122">
        <v>482280</v>
      </c>
      <c r="S14" s="122">
        <v>182199</v>
      </c>
      <c r="T14" s="167">
        <v>147541.33600000001</v>
      </c>
      <c r="U14" s="124">
        <f t="shared" si="3"/>
        <v>0.18350204562693395</v>
      </c>
      <c r="V14" s="76">
        <v>393</v>
      </c>
      <c r="W14" s="122">
        <v>479910</v>
      </c>
      <c r="X14" s="122">
        <v>180344</v>
      </c>
      <c r="Y14" s="167">
        <v>149421.60399999999</v>
      </c>
      <c r="Z14" s="124">
        <f t="shared" si="4"/>
        <v>0.20044353726674805</v>
      </c>
    </row>
    <row r="15" spans="1:26" x14ac:dyDescent="0.2">
      <c r="A15" s="114" t="str">
        <f>Translation!$A293</f>
        <v>50% – 59%</v>
      </c>
      <c r="B15" s="30">
        <v>458</v>
      </c>
      <c r="C15" s="6">
        <v>862247</v>
      </c>
      <c r="D15" s="6">
        <v>211439</v>
      </c>
      <c r="E15" s="150">
        <v>202943.75099999999</v>
      </c>
      <c r="F15" s="31">
        <f t="shared" si="0"/>
        <v>0.22467230800574214</v>
      </c>
      <c r="G15" s="41">
        <v>464</v>
      </c>
      <c r="H15" s="42">
        <v>828431</v>
      </c>
      <c r="I15" s="42">
        <v>239926</v>
      </c>
      <c r="J15" s="160">
        <v>219266.27600000001</v>
      </c>
      <c r="K15" s="44">
        <f t="shared" si="1"/>
        <v>0.25494147600836542</v>
      </c>
      <c r="L15" s="76">
        <v>471</v>
      </c>
      <c r="M15" s="122">
        <v>883567</v>
      </c>
      <c r="N15" s="122">
        <v>265889</v>
      </c>
      <c r="O15" s="167">
        <v>225203.48499999999</v>
      </c>
      <c r="P15" s="124">
        <f t="shared" si="2"/>
        <v>0.27356084883179554</v>
      </c>
      <c r="Q15" s="76">
        <v>514</v>
      </c>
      <c r="R15" s="122">
        <v>924941</v>
      </c>
      <c r="S15" s="122">
        <v>268684</v>
      </c>
      <c r="T15" s="167">
        <v>232095.00699999998</v>
      </c>
      <c r="U15" s="124">
        <f t="shared" si="3"/>
        <v>0.28866424636616783</v>
      </c>
      <c r="V15" s="76">
        <v>527</v>
      </c>
      <c r="W15" s="122">
        <v>1193245</v>
      </c>
      <c r="X15" s="122">
        <v>307586</v>
      </c>
      <c r="Y15" s="167">
        <v>247710.70499999999</v>
      </c>
      <c r="Z15" s="124">
        <f t="shared" si="4"/>
        <v>0.3322947191026</v>
      </c>
    </row>
    <row r="16" spans="1:26" x14ac:dyDescent="0.2">
      <c r="A16" s="114" t="str">
        <f>Translation!$A294</f>
        <v>60% – 69%</v>
      </c>
      <c r="B16" s="30">
        <v>431</v>
      </c>
      <c r="C16" s="6">
        <v>1299001</v>
      </c>
      <c r="D16" s="6">
        <v>363541</v>
      </c>
      <c r="E16" s="150">
        <v>303203.31200000003</v>
      </c>
      <c r="F16" s="31">
        <f t="shared" si="0"/>
        <v>0.33566634876096846</v>
      </c>
      <c r="G16" s="41">
        <v>406</v>
      </c>
      <c r="H16" s="42">
        <v>1255128</v>
      </c>
      <c r="I16" s="42">
        <v>318864</v>
      </c>
      <c r="J16" s="160">
        <v>265712.864</v>
      </c>
      <c r="K16" s="44">
        <f t="shared" si="1"/>
        <v>0.30894504607981788</v>
      </c>
      <c r="L16" s="76">
        <v>377</v>
      </c>
      <c r="M16" s="122">
        <v>1153910</v>
      </c>
      <c r="N16" s="122">
        <v>262996</v>
      </c>
      <c r="O16" s="167">
        <v>216927.255</v>
      </c>
      <c r="P16" s="124">
        <f t="shared" si="2"/>
        <v>0.26350748529735835</v>
      </c>
      <c r="Q16" s="76">
        <v>358</v>
      </c>
      <c r="R16" s="122">
        <v>1171840</v>
      </c>
      <c r="S16" s="122">
        <v>282964</v>
      </c>
      <c r="T16" s="167">
        <v>221356.60800000001</v>
      </c>
      <c r="U16" s="124">
        <f t="shared" si="3"/>
        <v>0.27530854391232656</v>
      </c>
      <c r="V16" s="76">
        <v>368</v>
      </c>
      <c r="W16" s="122">
        <v>785914</v>
      </c>
      <c r="X16" s="122">
        <v>229300</v>
      </c>
      <c r="Y16" s="167">
        <v>174153.66999999998</v>
      </c>
      <c r="Z16" s="124">
        <f t="shared" si="4"/>
        <v>0.233620686087575</v>
      </c>
    </row>
    <row r="17" spans="1:26" ht="12.75" customHeight="1" x14ac:dyDescent="0.2">
      <c r="A17" s="110" t="str">
        <f>Translation!$A295</f>
        <v>70% oder höher</v>
      </c>
      <c r="B17" s="30">
        <v>281</v>
      </c>
      <c r="C17" s="6">
        <v>461631</v>
      </c>
      <c r="D17" s="6">
        <v>140806</v>
      </c>
      <c r="E17" s="150">
        <v>128069.018</v>
      </c>
      <c r="F17" s="31">
        <f t="shared" si="0"/>
        <v>0.14178096993037709</v>
      </c>
      <c r="G17" s="41">
        <v>259</v>
      </c>
      <c r="H17" s="42">
        <v>411858</v>
      </c>
      <c r="I17" s="42">
        <v>127931</v>
      </c>
      <c r="J17" s="160">
        <v>109937.755</v>
      </c>
      <c r="K17" s="44">
        <f t="shared" si="1"/>
        <v>0.12782491699154894</v>
      </c>
      <c r="L17" s="76">
        <v>219</v>
      </c>
      <c r="M17" s="122">
        <v>308713</v>
      </c>
      <c r="N17" s="122">
        <v>111664</v>
      </c>
      <c r="O17" s="167">
        <v>91241.25</v>
      </c>
      <c r="P17" s="124">
        <f t="shared" si="2"/>
        <v>0.11083324842186196</v>
      </c>
      <c r="Q17" s="76">
        <v>185</v>
      </c>
      <c r="R17" s="122">
        <v>125660</v>
      </c>
      <c r="S17" s="122">
        <v>52729</v>
      </c>
      <c r="T17" s="167">
        <v>38851.921999999999</v>
      </c>
      <c r="U17" s="124">
        <f t="shared" si="3"/>
        <v>4.8321422028726094E-2</v>
      </c>
      <c r="V17" s="76">
        <v>168</v>
      </c>
      <c r="W17" s="122">
        <v>156039</v>
      </c>
      <c r="X17" s="122">
        <v>70826</v>
      </c>
      <c r="Y17" s="167">
        <v>51567.921000000002</v>
      </c>
      <c r="Z17" s="124">
        <f t="shared" si="4"/>
        <v>6.9176452521097428E-2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745454.83499999985</v>
      </c>
      <c r="Z36" s="127">
        <f t="shared" si="9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7" si="10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7" si="11">J52/J$76</f>
        <v>0.13350008739228944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7" si="12">O52/O$76</f>
        <v>0.14015542685544302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7" si="13">T52/T$76</f>
        <v>0.15068573691933379</v>
      </c>
      <c r="V52" s="128">
        <v>165</v>
      </c>
      <c r="W52" s="129">
        <v>1041650</v>
      </c>
      <c r="X52" s="129">
        <v>90221</v>
      </c>
      <c r="Y52" s="169">
        <v>44874.271999999997</v>
      </c>
      <c r="Z52" s="131">
        <f t="shared" ref="Z52:Z57" si="14">Y52/Y$76</f>
        <v>7.2770036448236347E-2</v>
      </c>
    </row>
    <row r="53" spans="1:26" x14ac:dyDescent="0.2">
      <c r="A53" s="114" t="str">
        <f>$A$13</f>
        <v>unter 40%</v>
      </c>
      <c r="B53" s="33">
        <v>136</v>
      </c>
      <c r="C53" s="8">
        <v>131812</v>
      </c>
      <c r="D53" s="8">
        <v>43200</v>
      </c>
      <c r="E53" s="152">
        <v>32565.681999999997</v>
      </c>
      <c r="F53" s="34">
        <f t="shared" si="10"/>
        <v>4.2332805746631411E-2</v>
      </c>
      <c r="G53" s="47">
        <v>166</v>
      </c>
      <c r="H53" s="48">
        <v>203214</v>
      </c>
      <c r="I53" s="48">
        <v>86295</v>
      </c>
      <c r="J53" s="162">
        <v>70857.142999999996</v>
      </c>
      <c r="K53" s="50">
        <f t="shared" si="11"/>
        <v>9.6695314616062913E-2</v>
      </c>
      <c r="L53" s="128">
        <v>202</v>
      </c>
      <c r="M53" s="129">
        <v>211086</v>
      </c>
      <c r="N53" s="129">
        <v>88760</v>
      </c>
      <c r="O53" s="169">
        <v>71275.315000000002</v>
      </c>
      <c r="P53" s="131">
        <f t="shared" si="12"/>
        <v>0.10124594175494089</v>
      </c>
      <c r="Q53" s="128">
        <v>250</v>
      </c>
      <c r="R53" s="129">
        <v>283330</v>
      </c>
      <c r="S53" s="129">
        <v>76531</v>
      </c>
      <c r="T53" s="169">
        <v>61516.415999999997</v>
      </c>
      <c r="U53" s="131">
        <f t="shared" si="13"/>
        <v>9.0634604561600426E-2</v>
      </c>
      <c r="V53" s="128">
        <v>274</v>
      </c>
      <c r="W53" s="129">
        <v>274422</v>
      </c>
      <c r="X53" s="129">
        <v>64203</v>
      </c>
      <c r="Y53" s="169">
        <v>77121.635999999999</v>
      </c>
      <c r="Z53" s="131">
        <f t="shared" si="14"/>
        <v>0.12506373947788202</v>
      </c>
    </row>
    <row r="54" spans="1:26" x14ac:dyDescent="0.2">
      <c r="A54" s="114" t="str">
        <f>$A$14</f>
        <v>40% – 49%</v>
      </c>
      <c r="B54" s="33">
        <v>219</v>
      </c>
      <c r="C54" s="8">
        <v>274934</v>
      </c>
      <c r="D54" s="8">
        <v>124788</v>
      </c>
      <c r="E54" s="152">
        <v>106834.507</v>
      </c>
      <c r="F54" s="34">
        <f t="shared" si="10"/>
        <v>0.13887639238963687</v>
      </c>
      <c r="G54" s="47">
        <v>254</v>
      </c>
      <c r="H54" s="48">
        <v>243812</v>
      </c>
      <c r="I54" s="48">
        <v>90876</v>
      </c>
      <c r="J54" s="162">
        <v>75788.933999999994</v>
      </c>
      <c r="K54" s="50">
        <f t="shared" si="11"/>
        <v>0.10342549116813851</v>
      </c>
      <c r="L54" s="128">
        <v>329</v>
      </c>
      <c r="M54" s="129">
        <v>325213</v>
      </c>
      <c r="N54" s="129">
        <v>106759</v>
      </c>
      <c r="O54" s="169">
        <v>92513.706000000006</v>
      </c>
      <c r="P54" s="131">
        <f t="shared" si="12"/>
        <v>0.13141488451099412</v>
      </c>
      <c r="Q54" s="128">
        <v>376</v>
      </c>
      <c r="R54" s="129">
        <v>390735</v>
      </c>
      <c r="S54" s="129">
        <v>145371</v>
      </c>
      <c r="T54" s="169">
        <v>113597.05799999999</v>
      </c>
      <c r="U54" s="131">
        <f t="shared" si="13"/>
        <v>0.16736710459840815</v>
      </c>
      <c r="V54" s="128">
        <v>383</v>
      </c>
      <c r="W54" s="129">
        <v>410464</v>
      </c>
      <c r="X54" s="129">
        <v>151764</v>
      </c>
      <c r="Y54" s="169">
        <v>122917.62300000001</v>
      </c>
      <c r="Z54" s="131">
        <f t="shared" si="14"/>
        <v>0.19932846834463577</v>
      </c>
    </row>
    <row r="55" spans="1:26" x14ac:dyDescent="0.2">
      <c r="A55" s="114" t="str">
        <f>$A$15</f>
        <v>50% – 59%</v>
      </c>
      <c r="B55" s="33">
        <v>448</v>
      </c>
      <c r="C55" s="8">
        <v>822210</v>
      </c>
      <c r="D55" s="8">
        <v>193939</v>
      </c>
      <c r="E55" s="152">
        <v>187139.04399999999</v>
      </c>
      <c r="F55" s="34">
        <f t="shared" si="10"/>
        <v>0.24326592629819049</v>
      </c>
      <c r="G55" s="47">
        <v>450</v>
      </c>
      <c r="H55" s="48">
        <v>770406</v>
      </c>
      <c r="I55" s="48">
        <v>215962</v>
      </c>
      <c r="J55" s="162">
        <v>196452.00900000002</v>
      </c>
      <c r="K55" s="50">
        <f t="shared" si="11"/>
        <v>0.26808855131532228</v>
      </c>
      <c r="L55" s="128">
        <v>458</v>
      </c>
      <c r="M55" s="129">
        <v>821535</v>
      </c>
      <c r="N55" s="129">
        <v>234375</v>
      </c>
      <c r="O55" s="169">
        <v>199959.93599999999</v>
      </c>
      <c r="P55" s="131">
        <f t="shared" si="12"/>
        <v>0.28404128460993416</v>
      </c>
      <c r="Q55" s="128">
        <v>504</v>
      </c>
      <c r="R55" s="129">
        <v>860097</v>
      </c>
      <c r="S55" s="129">
        <v>235829</v>
      </c>
      <c r="T55" s="169">
        <v>207411.82699999999</v>
      </c>
      <c r="U55" s="131">
        <f t="shared" si="13"/>
        <v>0.30558816888071111</v>
      </c>
      <c r="V55" s="128">
        <v>511</v>
      </c>
      <c r="W55" s="129">
        <v>1083205</v>
      </c>
      <c r="X55" s="129">
        <v>260309</v>
      </c>
      <c r="Y55" s="169">
        <v>210293.965</v>
      </c>
      <c r="Z55" s="131">
        <f t="shared" si="14"/>
        <v>0.34102167714039211</v>
      </c>
    </row>
    <row r="56" spans="1:26" x14ac:dyDescent="0.2">
      <c r="A56" s="114" t="str">
        <f>$A$16</f>
        <v>60% – 69%</v>
      </c>
      <c r="B56" s="33">
        <v>418</v>
      </c>
      <c r="C56" s="8">
        <v>1160246</v>
      </c>
      <c r="D56" s="8">
        <v>297044</v>
      </c>
      <c r="E56" s="152">
        <v>248423.23</v>
      </c>
      <c r="F56" s="34">
        <f t="shared" si="10"/>
        <v>0.32293051128303524</v>
      </c>
      <c r="G56" s="47">
        <v>395</v>
      </c>
      <c r="H56" s="48">
        <v>1114997</v>
      </c>
      <c r="I56" s="48">
        <v>252682</v>
      </c>
      <c r="J56" s="162">
        <v>210853.087</v>
      </c>
      <c r="K56" s="50">
        <f t="shared" si="11"/>
        <v>0.28774100566308591</v>
      </c>
      <c r="L56" s="128">
        <v>369</v>
      </c>
      <c r="M56" s="129">
        <v>1051955</v>
      </c>
      <c r="N56" s="129">
        <v>220560</v>
      </c>
      <c r="O56" s="169">
        <v>181465.47899999999</v>
      </c>
      <c r="P56" s="131">
        <f t="shared" si="12"/>
        <v>0.25777007533907709</v>
      </c>
      <c r="Q56" s="128">
        <v>342</v>
      </c>
      <c r="R56" s="129">
        <v>1016590</v>
      </c>
      <c r="S56" s="129">
        <v>214130</v>
      </c>
      <c r="T56" s="169">
        <v>165761.49799999999</v>
      </c>
      <c r="U56" s="131">
        <f t="shared" si="13"/>
        <v>0.24422306759172252</v>
      </c>
      <c r="V56" s="128">
        <v>355</v>
      </c>
      <c r="W56" s="129">
        <v>687165</v>
      </c>
      <c r="X56" s="129">
        <v>185950</v>
      </c>
      <c r="Y56" s="169">
        <v>139871.72</v>
      </c>
      <c r="Z56" s="131">
        <f t="shared" si="14"/>
        <v>0.22682195629775362</v>
      </c>
    </row>
    <row r="57" spans="1:26" ht="12.75" customHeight="1" x14ac:dyDescent="0.2">
      <c r="A57" s="114" t="str">
        <f>$A$17</f>
        <v>70% oder höher</v>
      </c>
      <c r="B57" s="33">
        <v>274</v>
      </c>
      <c r="C57" s="8">
        <v>386243</v>
      </c>
      <c r="D57" s="8">
        <v>101440</v>
      </c>
      <c r="E57" s="152">
        <v>94633.406999999992</v>
      </c>
      <c r="F57" s="34">
        <f t="shared" si="10"/>
        <v>0.12301592933545531</v>
      </c>
      <c r="G57" s="47">
        <v>252</v>
      </c>
      <c r="H57" s="48">
        <v>341931</v>
      </c>
      <c r="I57" s="48">
        <v>91756</v>
      </c>
      <c r="J57" s="162">
        <v>81009.357000000004</v>
      </c>
      <c r="K57" s="50">
        <f t="shared" si="11"/>
        <v>0.11054954984510114</v>
      </c>
      <c r="L57" s="128">
        <v>211</v>
      </c>
      <c r="M57" s="129">
        <v>233348</v>
      </c>
      <c r="N57" s="129">
        <v>72043</v>
      </c>
      <c r="O57" s="169">
        <v>60100.618999999999</v>
      </c>
      <c r="P57" s="131">
        <f t="shared" si="12"/>
        <v>8.5372386929610813E-2</v>
      </c>
      <c r="Q57" s="128">
        <v>181</v>
      </c>
      <c r="R57" s="129">
        <v>99200</v>
      </c>
      <c r="S57" s="129">
        <v>37912</v>
      </c>
      <c r="T57" s="169">
        <v>28168.184999999998</v>
      </c>
      <c r="U57" s="131">
        <f t="shared" si="13"/>
        <v>4.1501317448223982E-2</v>
      </c>
      <c r="V57" s="128">
        <v>159</v>
      </c>
      <c r="W57" s="129">
        <v>77726</v>
      </c>
      <c r="X57" s="129">
        <v>31180</v>
      </c>
      <c r="Y57" s="169">
        <v>21579.428000000004</v>
      </c>
      <c r="Z57" s="131">
        <f t="shared" si="14"/>
        <v>3.4994122291100167E-2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16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7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7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7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7" si="22"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 t="shared" ref="Z92:Z97" si="23">Y92/Y$116</f>
        <v>0</v>
      </c>
    </row>
    <row r="93" spans="1:26" x14ac:dyDescent="0.2">
      <c r="A93" s="114" t="str">
        <f>$A$13</f>
        <v>unter 40%</v>
      </c>
      <c r="B93" s="36">
        <v>4</v>
      </c>
      <c r="C93" s="10">
        <v>16442</v>
      </c>
      <c r="D93" s="10">
        <v>8960</v>
      </c>
      <c r="E93" s="154">
        <v>7648.61</v>
      </c>
      <c r="F93" s="37">
        <f t="shared" si="19"/>
        <v>5.7074869951796246E-2</v>
      </c>
      <c r="G93" s="53">
        <v>5</v>
      </c>
      <c r="H93" s="54">
        <v>17075</v>
      </c>
      <c r="I93" s="54">
        <v>8859</v>
      </c>
      <c r="J93" s="164">
        <v>7504.5949999999993</v>
      </c>
      <c r="K93" s="56">
        <f t="shared" si="20"/>
        <v>5.8962519962011468E-2</v>
      </c>
      <c r="L93" s="136">
        <v>6</v>
      </c>
      <c r="M93" s="137">
        <v>16715</v>
      </c>
      <c r="N93" s="137">
        <v>8516</v>
      </c>
      <c r="O93" s="171">
        <v>7108.3819999999996</v>
      </c>
      <c r="P93" s="139">
        <f t="shared" si="21"/>
        <v>5.9610068625967585E-2</v>
      </c>
      <c r="Q93" s="136">
        <v>6</v>
      </c>
      <c r="R93" s="137">
        <v>1281</v>
      </c>
      <c r="S93" s="137">
        <v>578</v>
      </c>
      <c r="T93" s="171">
        <v>394.81100000000004</v>
      </c>
      <c r="U93" s="139">
        <f t="shared" si="22"/>
        <v>3.1508977142709568E-3</v>
      </c>
      <c r="V93" s="136">
        <v>10</v>
      </c>
      <c r="W93" s="137">
        <v>1568</v>
      </c>
      <c r="X93" s="137">
        <v>852</v>
      </c>
      <c r="Y93" s="171">
        <v>605.02700000000004</v>
      </c>
      <c r="Z93" s="139">
        <f t="shared" si="23"/>
        <v>4.6975535169359161E-3</v>
      </c>
    </row>
    <row r="94" spans="1:26" x14ac:dyDescent="0.2">
      <c r="A94" s="114" t="str">
        <f>$A$14</f>
        <v>40% – 49%</v>
      </c>
      <c r="B94" s="36">
        <v>4</v>
      </c>
      <c r="C94" s="10">
        <v>55101</v>
      </c>
      <c r="D94" s="10">
        <v>23861</v>
      </c>
      <c r="E94" s="154">
        <v>22341.107</v>
      </c>
      <c r="F94" s="37">
        <f t="shared" si="19"/>
        <v>0.16671209234150583</v>
      </c>
      <c r="G94" s="53">
        <v>2</v>
      </c>
      <c r="H94" s="54">
        <v>36882</v>
      </c>
      <c r="I94" s="54">
        <v>14918</v>
      </c>
      <c r="J94" s="164">
        <v>13170.342000000001</v>
      </c>
      <c r="K94" s="56">
        <f t="shared" si="20"/>
        <v>0.10347747654357339</v>
      </c>
      <c r="L94" s="136">
        <v>3</v>
      </c>
      <c r="M94" s="137">
        <v>52276</v>
      </c>
      <c r="N94" s="137">
        <v>21747</v>
      </c>
      <c r="O94" s="171">
        <v>20293.670999999998</v>
      </c>
      <c r="P94" s="139">
        <f t="shared" si="21"/>
        <v>0.17018037592560559</v>
      </c>
      <c r="Q94" s="136">
        <v>7</v>
      </c>
      <c r="R94" s="137">
        <v>91545</v>
      </c>
      <c r="S94" s="137">
        <v>36828</v>
      </c>
      <c r="T94" s="171">
        <v>33944.278000000006</v>
      </c>
      <c r="U94" s="139">
        <f t="shared" si="22"/>
        <v>0.27090164145066359</v>
      </c>
      <c r="V94" s="136">
        <v>10</v>
      </c>
      <c r="W94" s="137">
        <v>69446</v>
      </c>
      <c r="X94" s="137">
        <v>28580</v>
      </c>
      <c r="Y94" s="171">
        <v>26503.981</v>
      </c>
      <c r="Z94" s="139">
        <f t="shared" si="23"/>
        <v>0.20578233559717615</v>
      </c>
    </row>
    <row r="95" spans="1:26" x14ac:dyDescent="0.2">
      <c r="A95" s="114" t="str">
        <f>$A$15</f>
        <v>50% – 59%</v>
      </c>
      <c r="B95" s="36">
        <v>10</v>
      </c>
      <c r="C95" s="10">
        <v>40037</v>
      </c>
      <c r="D95" s="10">
        <v>17500</v>
      </c>
      <c r="E95" s="154">
        <v>15804.707</v>
      </c>
      <c r="F95" s="37">
        <f t="shared" si="19"/>
        <v>0.11793667040824986</v>
      </c>
      <c r="G95" s="53">
        <v>14</v>
      </c>
      <c r="H95" s="54">
        <v>58025</v>
      </c>
      <c r="I95" s="54">
        <v>23964</v>
      </c>
      <c r="J95" s="164">
        <v>22814.267</v>
      </c>
      <c r="K95" s="56">
        <f t="shared" si="20"/>
        <v>0.17924840359888303</v>
      </c>
      <c r="L95" s="136">
        <v>13</v>
      </c>
      <c r="M95" s="137">
        <v>62032</v>
      </c>
      <c r="N95" s="137">
        <v>31514</v>
      </c>
      <c r="O95" s="171">
        <v>25243.548999999999</v>
      </c>
      <c r="P95" s="139">
        <f t="shared" si="21"/>
        <v>0.21168947986376863</v>
      </c>
      <c r="Q95" s="136">
        <v>10</v>
      </c>
      <c r="R95" s="137">
        <v>64844</v>
      </c>
      <c r="S95" s="137">
        <v>32855</v>
      </c>
      <c r="T95" s="171">
        <v>24683.18</v>
      </c>
      <c r="U95" s="139">
        <f t="shared" si="22"/>
        <v>0.19699090309778244</v>
      </c>
      <c r="V95" s="136">
        <v>16</v>
      </c>
      <c r="W95" s="137">
        <v>110040</v>
      </c>
      <c r="X95" s="137">
        <v>47277</v>
      </c>
      <c r="Y95" s="171">
        <v>37416.74</v>
      </c>
      <c r="Z95" s="139">
        <f t="shared" si="23"/>
        <v>0.29051123103477489</v>
      </c>
    </row>
    <row r="96" spans="1:26" x14ac:dyDescent="0.2">
      <c r="A96" s="114" t="str">
        <f>$A$16</f>
        <v>60% – 69%</v>
      </c>
      <c r="B96" s="36">
        <v>13</v>
      </c>
      <c r="C96" s="10">
        <v>138755</v>
      </c>
      <c r="D96" s="10">
        <v>66497</v>
      </c>
      <c r="E96" s="154">
        <v>54780.081999999995</v>
      </c>
      <c r="F96" s="37">
        <f t="shared" si="19"/>
        <v>0.40877571952272823</v>
      </c>
      <c r="G96" s="53">
        <v>11</v>
      </c>
      <c r="H96" s="54">
        <v>140131</v>
      </c>
      <c r="I96" s="54">
        <v>66182</v>
      </c>
      <c r="J96" s="164">
        <v>54859.777000000002</v>
      </c>
      <c r="K96" s="56">
        <f t="shared" si="20"/>
        <v>0.43102535133128411</v>
      </c>
      <c r="L96" s="136">
        <v>8</v>
      </c>
      <c r="M96" s="137">
        <v>101955</v>
      </c>
      <c r="N96" s="137">
        <v>42436</v>
      </c>
      <c r="O96" s="171">
        <v>35461.775999999998</v>
      </c>
      <c r="P96" s="139">
        <f t="shared" si="21"/>
        <v>0.29737834868169583</v>
      </c>
      <c r="Q96" s="136">
        <v>16</v>
      </c>
      <c r="R96" s="137">
        <v>155250</v>
      </c>
      <c r="S96" s="137">
        <v>68834</v>
      </c>
      <c r="T96" s="171">
        <v>55595.11</v>
      </c>
      <c r="U96" s="139">
        <f t="shared" si="22"/>
        <v>0.4436920577786394</v>
      </c>
      <c r="V96" s="136">
        <v>13</v>
      </c>
      <c r="W96" s="137">
        <v>98749</v>
      </c>
      <c r="X96" s="137">
        <v>43350</v>
      </c>
      <c r="Y96" s="171">
        <v>34281.949999999997</v>
      </c>
      <c r="Z96" s="139">
        <f t="shared" si="23"/>
        <v>0.2661720795764837</v>
      </c>
    </row>
    <row r="97" spans="1:26" ht="12.75" customHeight="1" x14ac:dyDescent="0.2">
      <c r="A97" s="114" t="str">
        <f>$A$17</f>
        <v>70% oder höher</v>
      </c>
      <c r="B97" s="36">
        <v>7</v>
      </c>
      <c r="C97" s="10">
        <v>75388</v>
      </c>
      <c r="D97" s="10">
        <v>39366</v>
      </c>
      <c r="E97" s="154">
        <v>33435.611000000004</v>
      </c>
      <c r="F97" s="37">
        <f t="shared" si="19"/>
        <v>0.24950064777571984</v>
      </c>
      <c r="G97" s="53">
        <v>7</v>
      </c>
      <c r="H97" s="54">
        <v>69927</v>
      </c>
      <c r="I97" s="54">
        <v>36175</v>
      </c>
      <c r="J97" s="164">
        <v>28928.398000000001</v>
      </c>
      <c r="K97" s="56">
        <f t="shared" si="20"/>
        <v>0.22728624856424801</v>
      </c>
      <c r="L97" s="136">
        <v>8</v>
      </c>
      <c r="M97" s="137">
        <v>75365</v>
      </c>
      <c r="N97" s="137">
        <v>39621</v>
      </c>
      <c r="O97" s="171">
        <v>31140.631000000001</v>
      </c>
      <c r="P97" s="139">
        <f t="shared" si="21"/>
        <v>0.26114172690296239</v>
      </c>
      <c r="Q97" s="136">
        <v>4</v>
      </c>
      <c r="R97" s="137">
        <v>26460</v>
      </c>
      <c r="S97" s="137">
        <v>14817</v>
      </c>
      <c r="T97" s="171">
        <v>10683.737000000001</v>
      </c>
      <c r="U97" s="139">
        <f t="shared" si="22"/>
        <v>8.526449995864363E-2</v>
      </c>
      <c r="V97" s="136">
        <v>9</v>
      </c>
      <c r="W97" s="137">
        <v>78313</v>
      </c>
      <c r="X97" s="137">
        <v>39646</v>
      </c>
      <c r="Y97" s="171">
        <v>29988.493000000002</v>
      </c>
      <c r="Z97" s="139">
        <f t="shared" si="23"/>
        <v>0.23283680027462925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>
        <v>0</v>
      </c>
      <c r="F98" s="37"/>
      <c r="G98" s="53"/>
      <c r="H98" s="54"/>
      <c r="I98" s="54"/>
      <c r="J98" s="164">
        <v>0</v>
      </c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0.99999999999999989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4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Translation!$A$315</f>
        <v>Fremdwährungsexposure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</row>
    <row r="12" spans="1:26" x14ac:dyDescent="0.2">
      <c r="A12" s="114" t="str">
        <f>Translation!$A316</f>
        <v>nicht definiert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8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8" si="1">J12/J$36</f>
        <v>0.11374397771050687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8" si="2">O12/O$36</f>
        <v>0.11985337695814699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8" si="3">T12/T$36</f>
        <v>0.12720269876653947</v>
      </c>
      <c r="V12" s="76">
        <v>165</v>
      </c>
      <c r="W12" s="122">
        <v>1041650</v>
      </c>
      <c r="X12" s="122">
        <v>90221</v>
      </c>
      <c r="Y12" s="167">
        <v>44874.271999999997</v>
      </c>
      <c r="Z12" s="124">
        <f t="shared" ref="Z12:Z18" si="4">Y12/Y$36</f>
        <v>6.0197170764879404E-2</v>
      </c>
    </row>
    <row r="13" spans="1:26" x14ac:dyDescent="0.2">
      <c r="A13" s="114" t="str">
        <f>Translation!$A339</f>
        <v>unter 5%</v>
      </c>
      <c r="B13" s="30">
        <v>372</v>
      </c>
      <c r="C13" s="6">
        <v>353049</v>
      </c>
      <c r="D13" s="6">
        <v>92670</v>
      </c>
      <c r="E13" s="150">
        <v>77338.032000000007</v>
      </c>
      <c r="F13" s="31">
        <f t="shared" si="0"/>
        <v>8.5618374847432205E-2</v>
      </c>
      <c r="G13" s="41">
        <v>394</v>
      </c>
      <c r="H13" s="42">
        <v>318006</v>
      </c>
      <c r="I13" s="42">
        <v>83322</v>
      </c>
      <c r="J13" s="160">
        <v>69212.027000000002</v>
      </c>
      <c r="K13" s="44">
        <f t="shared" si="1"/>
        <v>8.0473005894033806E-2</v>
      </c>
      <c r="L13" s="76">
        <v>397</v>
      </c>
      <c r="M13" s="122">
        <v>347300</v>
      </c>
      <c r="N13" s="122">
        <v>95656</v>
      </c>
      <c r="O13" s="167">
        <v>72833.331000000006</v>
      </c>
      <c r="P13" s="124">
        <f t="shared" si="2"/>
        <v>8.8472644424694991E-2</v>
      </c>
      <c r="Q13" s="76">
        <v>428</v>
      </c>
      <c r="R13" s="122">
        <v>384215</v>
      </c>
      <c r="S13" s="122">
        <v>119779</v>
      </c>
      <c r="T13" s="167">
        <v>88852.240999999995</v>
      </c>
      <c r="U13" s="124">
        <f t="shared" si="3"/>
        <v>0.11050847460156744</v>
      </c>
      <c r="V13" s="76">
        <v>428</v>
      </c>
      <c r="W13" s="122">
        <v>404100</v>
      </c>
      <c r="X13" s="122">
        <v>112709</v>
      </c>
      <c r="Y13" s="167">
        <v>81879.941000000006</v>
      </c>
      <c r="Z13" s="124">
        <f t="shared" si="4"/>
        <v>0.10983890258086529</v>
      </c>
    </row>
    <row r="14" spans="1:26" x14ac:dyDescent="0.2">
      <c r="A14" s="114" t="str">
        <f>Translation!$A340</f>
        <v>5% – 9%</v>
      </c>
      <c r="B14" s="30">
        <v>129</v>
      </c>
      <c r="C14" s="6">
        <v>299131</v>
      </c>
      <c r="D14" s="6">
        <v>108820</v>
      </c>
      <c r="E14" s="150">
        <v>80997.954000000012</v>
      </c>
      <c r="F14" s="31">
        <f t="shared" si="0"/>
        <v>8.9670153326982402E-2</v>
      </c>
      <c r="G14" s="41">
        <v>128</v>
      </c>
      <c r="H14" s="42">
        <v>333807</v>
      </c>
      <c r="I14" s="42">
        <v>116604</v>
      </c>
      <c r="J14" s="160">
        <v>95483.501999999993</v>
      </c>
      <c r="K14" s="44">
        <f t="shared" si="1"/>
        <v>0.11101891899841321</v>
      </c>
      <c r="L14" s="76">
        <v>123</v>
      </c>
      <c r="M14" s="122">
        <v>311111</v>
      </c>
      <c r="N14" s="122">
        <v>104638</v>
      </c>
      <c r="O14" s="167">
        <v>85180.774000000005</v>
      </c>
      <c r="P14" s="124">
        <f t="shared" si="2"/>
        <v>0.10347142203234264</v>
      </c>
      <c r="Q14" s="76">
        <v>139</v>
      </c>
      <c r="R14" s="122">
        <v>409880</v>
      </c>
      <c r="S14" s="122">
        <v>125690</v>
      </c>
      <c r="T14" s="167">
        <v>107260.61900000001</v>
      </c>
      <c r="U14" s="124">
        <f t="shared" si="3"/>
        <v>0.1334035839401046</v>
      </c>
      <c r="V14" s="76">
        <v>139</v>
      </c>
      <c r="W14" s="122">
        <v>341649</v>
      </c>
      <c r="X14" s="122">
        <v>111163</v>
      </c>
      <c r="Y14" s="167">
        <v>95410.054999999993</v>
      </c>
      <c r="Z14" s="124">
        <f t="shared" si="4"/>
        <v>0.12798904845791229</v>
      </c>
    </row>
    <row r="15" spans="1:26" x14ac:dyDescent="0.2">
      <c r="A15" s="114" t="str">
        <f>Translation!$A341</f>
        <v>10% – 14%</v>
      </c>
      <c r="B15" s="30">
        <v>190</v>
      </c>
      <c r="C15" s="6">
        <v>366480</v>
      </c>
      <c r="D15" s="6">
        <v>160673</v>
      </c>
      <c r="E15" s="150">
        <v>138071.35399999999</v>
      </c>
      <c r="F15" s="31">
        <f t="shared" si="0"/>
        <v>0.15285422497516496</v>
      </c>
      <c r="G15" s="41">
        <v>176</v>
      </c>
      <c r="H15" s="42">
        <v>310416</v>
      </c>
      <c r="I15" s="42">
        <v>146923</v>
      </c>
      <c r="J15" s="160">
        <v>116655.89</v>
      </c>
      <c r="K15" s="44">
        <f t="shared" si="1"/>
        <v>0.1356361102318786</v>
      </c>
      <c r="L15" s="76">
        <v>189</v>
      </c>
      <c r="M15" s="122">
        <v>425170</v>
      </c>
      <c r="N15" s="122">
        <v>169159</v>
      </c>
      <c r="O15" s="167">
        <v>131718.514</v>
      </c>
      <c r="P15" s="124">
        <f t="shared" si="2"/>
        <v>0.1600020909831957</v>
      </c>
      <c r="Q15" s="76">
        <v>171</v>
      </c>
      <c r="R15" s="122">
        <v>314424</v>
      </c>
      <c r="S15" s="122">
        <v>147859</v>
      </c>
      <c r="T15" s="167">
        <v>111422.18700000001</v>
      </c>
      <c r="U15" s="124">
        <f t="shared" si="3"/>
        <v>0.1385794638780197</v>
      </c>
      <c r="V15" s="76">
        <v>184</v>
      </c>
      <c r="W15" s="122">
        <v>404210</v>
      </c>
      <c r="X15" s="122">
        <v>153338</v>
      </c>
      <c r="Y15" s="167">
        <v>108905.724</v>
      </c>
      <c r="Z15" s="124">
        <f t="shared" si="4"/>
        <v>0.14609298764558956</v>
      </c>
    </row>
    <row r="16" spans="1:26" x14ac:dyDescent="0.2">
      <c r="A16" s="114" t="str">
        <f>Translation!$A342</f>
        <v>15% – 19%</v>
      </c>
      <c r="B16" s="30">
        <v>248</v>
      </c>
      <c r="C16" s="6">
        <v>875950</v>
      </c>
      <c r="D16" s="6">
        <v>244220</v>
      </c>
      <c r="E16" s="150">
        <v>228168.89599999998</v>
      </c>
      <c r="F16" s="31">
        <f t="shared" si="0"/>
        <v>0.25259823092282424</v>
      </c>
      <c r="G16" s="41">
        <v>247</v>
      </c>
      <c r="H16" s="42">
        <v>682594</v>
      </c>
      <c r="I16" s="42">
        <v>219204</v>
      </c>
      <c r="J16" s="160">
        <v>191743.617</v>
      </c>
      <c r="K16" s="44">
        <f t="shared" si="1"/>
        <v>0.22294080797524338</v>
      </c>
      <c r="L16" s="76">
        <v>240</v>
      </c>
      <c r="M16" s="122">
        <v>531835</v>
      </c>
      <c r="N16" s="122">
        <v>185657</v>
      </c>
      <c r="O16" s="167">
        <v>162935.628</v>
      </c>
      <c r="P16" s="124">
        <f t="shared" si="2"/>
        <v>0.19792237540472199</v>
      </c>
      <c r="Q16" s="76">
        <v>256</v>
      </c>
      <c r="R16" s="122">
        <v>471985</v>
      </c>
      <c r="S16" s="122">
        <v>146185</v>
      </c>
      <c r="T16" s="167">
        <v>122395.399</v>
      </c>
      <c r="U16" s="124">
        <f t="shared" si="3"/>
        <v>0.15222721103613149</v>
      </c>
      <c r="V16" s="76">
        <v>242</v>
      </c>
      <c r="W16" s="122">
        <v>420348</v>
      </c>
      <c r="X16" s="122">
        <v>123472</v>
      </c>
      <c r="Y16" s="167">
        <v>98387.849000000002</v>
      </c>
      <c r="Z16" s="124">
        <f t="shared" si="4"/>
        <v>0.13198364861366821</v>
      </c>
    </row>
    <row r="17" spans="1:26" ht="12.75" customHeight="1" x14ac:dyDescent="0.2">
      <c r="A17" s="110" t="str">
        <f>Translation!$A343</f>
        <v>20% – 24%</v>
      </c>
      <c r="B17" s="30">
        <v>252</v>
      </c>
      <c r="C17" s="6">
        <v>371834</v>
      </c>
      <c r="D17" s="6">
        <v>112557</v>
      </c>
      <c r="E17" s="150">
        <v>98262.741999999998</v>
      </c>
      <c r="F17" s="31">
        <f t="shared" si="0"/>
        <v>0.10878342854771013</v>
      </c>
      <c r="G17" s="41">
        <v>267</v>
      </c>
      <c r="H17" s="42">
        <v>592582</v>
      </c>
      <c r="I17" s="42">
        <v>156278</v>
      </c>
      <c r="J17" s="160">
        <v>129143.84300000001</v>
      </c>
      <c r="K17" s="44">
        <f t="shared" si="1"/>
        <v>0.15015588604155716</v>
      </c>
      <c r="L17" s="76">
        <v>275</v>
      </c>
      <c r="M17" s="122">
        <v>551437</v>
      </c>
      <c r="N17" s="122">
        <v>136382</v>
      </c>
      <c r="O17" s="167">
        <v>108667.265</v>
      </c>
      <c r="P17" s="124">
        <f t="shared" si="2"/>
        <v>0.13200110670414211</v>
      </c>
      <c r="Q17" s="76">
        <v>283</v>
      </c>
      <c r="R17" s="122">
        <v>473063</v>
      </c>
      <c r="S17" s="122">
        <v>136508</v>
      </c>
      <c r="T17" s="167">
        <v>108910.394</v>
      </c>
      <c r="U17" s="124">
        <f t="shared" si="3"/>
        <v>0.13545546374227865</v>
      </c>
      <c r="V17" s="76">
        <v>295</v>
      </c>
      <c r="W17" s="122">
        <v>542208</v>
      </c>
      <c r="X17" s="122">
        <v>149361</v>
      </c>
      <c r="Y17" s="167">
        <v>144338.20500000002</v>
      </c>
      <c r="Z17" s="124">
        <f t="shared" si="4"/>
        <v>0.19362434613493387</v>
      </c>
    </row>
    <row r="18" spans="1:26" ht="12.75" customHeight="1" x14ac:dyDescent="0.2">
      <c r="A18" s="110" t="str">
        <f>Translation!$A344</f>
        <v>25% oder mehr</v>
      </c>
      <c r="B18" s="30">
        <v>342</v>
      </c>
      <c r="C18" s="6">
        <v>834724</v>
      </c>
      <c r="D18" s="6">
        <v>197655</v>
      </c>
      <c r="E18" s="150">
        <v>180767.00900000002</v>
      </c>
      <c r="F18" s="31">
        <f t="shared" si="0"/>
        <v>0.2001211711284708</v>
      </c>
      <c r="G18" s="41">
        <v>344</v>
      </c>
      <c r="H18" s="42">
        <v>758995</v>
      </c>
      <c r="I18" s="42">
        <v>165338</v>
      </c>
      <c r="J18" s="160">
        <v>159999.03</v>
      </c>
      <c r="K18" s="44">
        <f t="shared" si="1"/>
        <v>0.186031293148367</v>
      </c>
      <c r="L18" s="76">
        <v>383</v>
      </c>
      <c r="M18" s="122">
        <v>784627</v>
      </c>
      <c r="N18" s="122">
        <v>174839</v>
      </c>
      <c r="O18" s="167">
        <v>163227.55199999997</v>
      </c>
      <c r="P18" s="124">
        <f t="shared" si="2"/>
        <v>0.19827698349275563</v>
      </c>
      <c r="Q18" s="76">
        <v>419</v>
      </c>
      <c r="R18" s="122">
        <v>935765</v>
      </c>
      <c r="S18" s="122">
        <v>187664</v>
      </c>
      <c r="T18" s="167">
        <v>162915.26</v>
      </c>
      <c r="U18" s="124">
        <f t="shared" si="3"/>
        <v>0.20262310403535863</v>
      </c>
      <c r="V18" s="76">
        <v>452</v>
      </c>
      <c r="W18" s="122">
        <v>778583</v>
      </c>
      <c r="X18" s="122">
        <v>203068</v>
      </c>
      <c r="Y18" s="167">
        <v>171658.78900000002</v>
      </c>
      <c r="Z18" s="124">
        <f t="shared" si="4"/>
        <v>0.23027389580215149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823229.95399999991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8" si="10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8" si="11">J52/J$76</f>
        <v>0.13350008739228941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8" si="12">O52/O$76</f>
        <v>0.14015542685544299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8" si="13">T52/T$76</f>
        <v>0.15068573691933379</v>
      </c>
      <c r="V52" s="128">
        <v>165</v>
      </c>
      <c r="W52" s="129">
        <v>1041650</v>
      </c>
      <c r="X52" s="129">
        <v>90221</v>
      </c>
      <c r="Y52" s="169">
        <v>44874.271999999997</v>
      </c>
      <c r="Z52" s="131">
        <f t="shared" ref="Z52:Z58" si="14">Y52/Y$76</f>
        <v>7.2770036448236333E-2</v>
      </c>
    </row>
    <row r="53" spans="1:26" x14ac:dyDescent="0.2">
      <c r="A53" s="114" t="str">
        <f>$A$13</f>
        <v>unter 5%</v>
      </c>
      <c r="B53" s="33">
        <v>363</v>
      </c>
      <c r="C53" s="8">
        <v>339656</v>
      </c>
      <c r="D53" s="8">
        <v>85270</v>
      </c>
      <c r="E53" s="152">
        <v>71191.573000000004</v>
      </c>
      <c r="F53" s="34">
        <f t="shared" si="10"/>
        <v>9.2543402917406425E-2</v>
      </c>
      <c r="G53" s="47">
        <v>386</v>
      </c>
      <c r="H53" s="48">
        <v>308122</v>
      </c>
      <c r="I53" s="48">
        <v>77712</v>
      </c>
      <c r="J53" s="162">
        <v>64397.017999999996</v>
      </c>
      <c r="K53" s="50">
        <f t="shared" si="11"/>
        <v>8.7879494602912028E-2</v>
      </c>
      <c r="L53" s="128">
        <v>388</v>
      </c>
      <c r="M53" s="129">
        <v>301922</v>
      </c>
      <c r="N53" s="129">
        <v>77788</v>
      </c>
      <c r="O53" s="169">
        <v>58486.385999999999</v>
      </c>
      <c r="P53" s="131">
        <f t="shared" si="12"/>
        <v>8.3079383520269112E-2</v>
      </c>
      <c r="Q53" s="128">
        <v>414</v>
      </c>
      <c r="R53" s="129">
        <v>293601</v>
      </c>
      <c r="S53" s="129">
        <v>74738</v>
      </c>
      <c r="T53" s="169">
        <v>54350.881999999998</v>
      </c>
      <c r="U53" s="131">
        <f t="shared" si="13"/>
        <v>8.0077335741474381E-2</v>
      </c>
      <c r="V53" s="128">
        <v>408</v>
      </c>
      <c r="W53" s="129">
        <v>326876</v>
      </c>
      <c r="X53" s="129">
        <v>79907</v>
      </c>
      <c r="Y53" s="169">
        <v>56814.629000000001</v>
      </c>
      <c r="Z53" s="131">
        <f t="shared" si="14"/>
        <v>9.2133029436622951E-2</v>
      </c>
    </row>
    <row r="54" spans="1:26" x14ac:dyDescent="0.2">
      <c r="A54" s="114" t="str">
        <f>$A$14</f>
        <v>5% – 9%</v>
      </c>
      <c r="B54" s="33">
        <v>127</v>
      </c>
      <c r="C54" s="8">
        <v>282541</v>
      </c>
      <c r="D54" s="8">
        <v>99601</v>
      </c>
      <c r="E54" s="152">
        <v>73207.820000000007</v>
      </c>
      <c r="F54" s="34">
        <f t="shared" si="10"/>
        <v>9.5164364228403339E-2</v>
      </c>
      <c r="G54" s="47">
        <v>126</v>
      </c>
      <c r="H54" s="48">
        <v>317160</v>
      </c>
      <c r="I54" s="48">
        <v>107748</v>
      </c>
      <c r="J54" s="162">
        <v>88004.964999999997</v>
      </c>
      <c r="K54" s="50">
        <f t="shared" si="11"/>
        <v>0.12009611759890748</v>
      </c>
      <c r="L54" s="128">
        <v>120</v>
      </c>
      <c r="M54" s="129">
        <v>259037</v>
      </c>
      <c r="N54" s="129">
        <v>81926</v>
      </c>
      <c r="O54" s="169">
        <v>65390.786999999997</v>
      </c>
      <c r="P54" s="131">
        <f t="shared" si="12"/>
        <v>9.2887022834087021E-2</v>
      </c>
      <c r="Q54" s="128">
        <v>137</v>
      </c>
      <c r="R54" s="129">
        <v>371424</v>
      </c>
      <c r="S54" s="129">
        <v>109809</v>
      </c>
      <c r="T54" s="169">
        <v>93027.870999999999</v>
      </c>
      <c r="U54" s="131">
        <f t="shared" si="13"/>
        <v>0.13706169587793568</v>
      </c>
      <c r="V54" s="128">
        <v>137</v>
      </c>
      <c r="W54" s="129">
        <v>300182</v>
      </c>
      <c r="X54" s="129">
        <v>95587</v>
      </c>
      <c r="Y54" s="169">
        <v>81201.982999999993</v>
      </c>
      <c r="Z54" s="131">
        <f t="shared" si="14"/>
        <v>0.13168060448042626</v>
      </c>
    </row>
    <row r="55" spans="1:26" x14ac:dyDescent="0.2">
      <c r="A55" s="114" t="str">
        <f>$A$15</f>
        <v>10% – 14%</v>
      </c>
      <c r="B55" s="33">
        <v>186</v>
      </c>
      <c r="C55" s="8">
        <v>317109</v>
      </c>
      <c r="D55" s="8">
        <v>139455</v>
      </c>
      <c r="E55" s="152">
        <v>119527.13</v>
      </c>
      <c r="F55" s="34">
        <f t="shared" si="10"/>
        <v>0.15537579639027244</v>
      </c>
      <c r="G55" s="47">
        <v>171</v>
      </c>
      <c r="H55" s="48">
        <v>242723</v>
      </c>
      <c r="I55" s="48">
        <v>117730</v>
      </c>
      <c r="J55" s="162">
        <v>93271.184999999998</v>
      </c>
      <c r="K55" s="50">
        <f t="shared" si="11"/>
        <v>0.12728267322587375</v>
      </c>
      <c r="L55" s="128">
        <v>185</v>
      </c>
      <c r="M55" s="129">
        <v>395877</v>
      </c>
      <c r="N55" s="129">
        <v>157317</v>
      </c>
      <c r="O55" s="169">
        <v>122427.019</v>
      </c>
      <c r="P55" s="131">
        <f t="shared" si="12"/>
        <v>0.17390647568383305</v>
      </c>
      <c r="Q55" s="128">
        <v>168</v>
      </c>
      <c r="R55" s="129">
        <v>295392</v>
      </c>
      <c r="S55" s="129">
        <v>142471</v>
      </c>
      <c r="T55" s="169">
        <v>106429.901</v>
      </c>
      <c r="U55" s="131">
        <f t="shared" si="13"/>
        <v>0.15680744454724543</v>
      </c>
      <c r="V55" s="128">
        <v>181</v>
      </c>
      <c r="W55" s="129">
        <v>385458</v>
      </c>
      <c r="X55" s="129">
        <v>147931</v>
      </c>
      <c r="Y55" s="169">
        <v>104419.81</v>
      </c>
      <c r="Z55" s="131">
        <f t="shared" si="14"/>
        <v>0.16933162458029208</v>
      </c>
    </row>
    <row r="56" spans="1:26" x14ac:dyDescent="0.2">
      <c r="A56" s="114" t="str">
        <f>$A$16</f>
        <v>15% – 19%</v>
      </c>
      <c r="B56" s="33">
        <v>237</v>
      </c>
      <c r="C56" s="8">
        <v>750369</v>
      </c>
      <c r="D56" s="8">
        <v>178919</v>
      </c>
      <c r="E56" s="152">
        <v>174243.78099999999</v>
      </c>
      <c r="F56" s="34">
        <f t="shared" si="10"/>
        <v>0.22650310635691845</v>
      </c>
      <c r="G56" s="47">
        <v>239</v>
      </c>
      <c r="H56" s="48">
        <v>605954</v>
      </c>
      <c r="I56" s="48">
        <v>183127</v>
      </c>
      <c r="J56" s="162">
        <v>161521.83900000001</v>
      </c>
      <c r="K56" s="50">
        <f t="shared" si="11"/>
        <v>0.2204210384190915</v>
      </c>
      <c r="L56" s="128">
        <v>231</v>
      </c>
      <c r="M56" s="129">
        <v>450220</v>
      </c>
      <c r="N56" s="129">
        <v>140647</v>
      </c>
      <c r="O56" s="169">
        <v>127159.75599999999</v>
      </c>
      <c r="P56" s="131">
        <f t="shared" si="12"/>
        <v>0.180629285883177</v>
      </c>
      <c r="Q56" s="128">
        <v>251</v>
      </c>
      <c r="R56" s="129">
        <v>460552</v>
      </c>
      <c r="S56" s="129">
        <v>139344</v>
      </c>
      <c r="T56" s="169">
        <v>117009.599</v>
      </c>
      <c r="U56" s="131">
        <f t="shared" si="13"/>
        <v>0.17239493821090679</v>
      </c>
      <c r="V56" s="128">
        <v>236</v>
      </c>
      <c r="W56" s="129">
        <v>399329</v>
      </c>
      <c r="X56" s="129">
        <v>114308</v>
      </c>
      <c r="Y56" s="169">
        <v>89900.160000000003</v>
      </c>
      <c r="Z56" s="131">
        <f t="shared" si="14"/>
        <v>0.14578593987891944</v>
      </c>
    </row>
    <row r="57" spans="1:26" ht="12.75" customHeight="1" x14ac:dyDescent="0.2">
      <c r="A57" s="114" t="str">
        <f>$A$17</f>
        <v>20% – 24%</v>
      </c>
      <c r="B57" s="33">
        <v>245</v>
      </c>
      <c r="C57" s="8">
        <v>330910</v>
      </c>
      <c r="D57" s="8">
        <v>94446</v>
      </c>
      <c r="E57" s="152">
        <v>81973.228000000003</v>
      </c>
      <c r="F57" s="34">
        <f t="shared" si="10"/>
        <v>0.10655869996360977</v>
      </c>
      <c r="G57" s="47">
        <v>255</v>
      </c>
      <c r="H57" s="48">
        <v>501054</v>
      </c>
      <c r="I57" s="48">
        <v>113498</v>
      </c>
      <c r="J57" s="162">
        <v>92636.032000000007</v>
      </c>
      <c r="K57" s="50">
        <f t="shared" si="11"/>
        <v>0.12641591065876975</v>
      </c>
      <c r="L57" s="128">
        <v>268</v>
      </c>
      <c r="M57" s="129">
        <v>526766</v>
      </c>
      <c r="N57" s="129">
        <v>124681</v>
      </c>
      <c r="O57" s="169">
        <v>99165.342999999993</v>
      </c>
      <c r="P57" s="131">
        <f t="shared" si="12"/>
        <v>0.14086347484380438</v>
      </c>
      <c r="Q57" s="128">
        <v>274</v>
      </c>
      <c r="R57" s="129">
        <v>396858</v>
      </c>
      <c r="S57" s="129">
        <v>100068</v>
      </c>
      <c r="T57" s="169">
        <v>80252.535000000003</v>
      </c>
      <c r="U57" s="131">
        <f t="shared" si="13"/>
        <v>0.1182392806302467</v>
      </c>
      <c r="V57" s="128">
        <v>281</v>
      </c>
      <c r="W57" s="129">
        <v>472983</v>
      </c>
      <c r="X57" s="129">
        <v>111109</v>
      </c>
      <c r="Y57" s="169">
        <v>116153.406</v>
      </c>
      <c r="Z57" s="131">
        <f t="shared" si="14"/>
        <v>0.18835932509850617</v>
      </c>
    </row>
    <row r="58" spans="1:26" ht="12.75" customHeight="1" x14ac:dyDescent="0.2">
      <c r="A58" s="114" t="str">
        <f>$A$18</f>
        <v>25% oder mehr</v>
      </c>
      <c r="B58" s="33">
        <v>337</v>
      </c>
      <c r="C58" s="8">
        <v>754860</v>
      </c>
      <c r="D58" s="8">
        <v>162720</v>
      </c>
      <c r="E58" s="152">
        <v>149452.33800000002</v>
      </c>
      <c r="F58" s="34">
        <f t="shared" si="10"/>
        <v>0.19427619519633893</v>
      </c>
      <c r="G58" s="47">
        <v>340</v>
      </c>
      <c r="H58" s="48">
        <v>699347</v>
      </c>
      <c r="I58" s="48">
        <v>137756</v>
      </c>
      <c r="J58" s="162">
        <v>135129.49100000001</v>
      </c>
      <c r="K58" s="50">
        <f t="shared" si="11"/>
        <v>0.18440467810215608</v>
      </c>
      <c r="L58" s="128">
        <v>377</v>
      </c>
      <c r="M58" s="129">
        <v>709315</v>
      </c>
      <c r="N58" s="129">
        <v>140138</v>
      </c>
      <c r="O58" s="169">
        <v>132685.76399999997</v>
      </c>
      <c r="P58" s="131">
        <f t="shared" si="12"/>
        <v>0.18847893037938629</v>
      </c>
      <c r="Q58" s="128">
        <v>409</v>
      </c>
      <c r="R58" s="129">
        <v>832125</v>
      </c>
      <c r="S58" s="129">
        <v>143343</v>
      </c>
      <c r="T58" s="169">
        <v>125384.196</v>
      </c>
      <c r="U58" s="131">
        <f t="shared" si="13"/>
        <v>0.18473356807285721</v>
      </c>
      <c r="V58" s="128">
        <v>439</v>
      </c>
      <c r="W58" s="129">
        <v>648154</v>
      </c>
      <c r="X58" s="129">
        <v>144564</v>
      </c>
      <c r="Y58" s="169">
        <v>123294.38400000001</v>
      </c>
      <c r="Z58" s="131">
        <f t="shared" si="14"/>
        <v>0.19993944007699663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 t="shared" ref="Z92:Z98" si="23">Y92/Y$116</f>
        <v>0</v>
      </c>
    </row>
    <row r="93" spans="1:26" x14ac:dyDescent="0.2">
      <c r="A93" s="114" t="str">
        <f>$A$13</f>
        <v>unter 5%</v>
      </c>
      <c r="B93" s="36">
        <v>9</v>
      </c>
      <c r="C93" s="10">
        <v>13393</v>
      </c>
      <c r="D93" s="10">
        <v>7400</v>
      </c>
      <c r="E93" s="154">
        <v>6146.4589999999998</v>
      </c>
      <c r="F93" s="37">
        <f t="shared" si="19"/>
        <v>4.586563415954633E-2</v>
      </c>
      <c r="G93" s="53">
        <v>8</v>
      </c>
      <c r="H93" s="54">
        <v>9884</v>
      </c>
      <c r="I93" s="54">
        <v>5610</v>
      </c>
      <c r="J93" s="164">
        <v>4815.009</v>
      </c>
      <c r="K93" s="56">
        <f t="shared" si="20"/>
        <v>3.7830830881581866E-2</v>
      </c>
      <c r="L93" s="136">
        <v>9</v>
      </c>
      <c r="M93" s="137">
        <v>45378</v>
      </c>
      <c r="N93" s="137">
        <v>17868</v>
      </c>
      <c r="O93" s="171">
        <v>14346.945</v>
      </c>
      <c r="P93" s="139">
        <f t="shared" si="21"/>
        <v>0.12031182004892005</v>
      </c>
      <c r="Q93" s="136">
        <v>14</v>
      </c>
      <c r="R93" s="137">
        <v>90614</v>
      </c>
      <c r="S93" s="137">
        <v>45041</v>
      </c>
      <c r="T93" s="171">
        <v>34501.358999999997</v>
      </c>
      <c r="U93" s="139">
        <f t="shared" si="22"/>
        <v>0.27534757950599575</v>
      </c>
      <c r="V93" s="136">
        <v>20</v>
      </c>
      <c r="W93" s="137">
        <v>77224</v>
      </c>
      <c r="X93" s="137">
        <v>32802</v>
      </c>
      <c r="Y93" s="171">
        <v>25065.312000000002</v>
      </c>
      <c r="Z93" s="139">
        <f t="shared" si="23"/>
        <v>0.19461221489073388</v>
      </c>
    </row>
    <row r="94" spans="1:26" x14ac:dyDescent="0.2">
      <c r="A94" s="114" t="str">
        <f>$A$14</f>
        <v>5% – 9%</v>
      </c>
      <c r="B94" s="36">
        <v>2</v>
      </c>
      <c r="C94" s="10">
        <v>16590</v>
      </c>
      <c r="D94" s="10">
        <v>9219</v>
      </c>
      <c r="E94" s="154">
        <v>7790.134</v>
      </c>
      <c r="F94" s="37">
        <f t="shared" si="19"/>
        <v>5.8130939472278799E-2</v>
      </c>
      <c r="G94" s="53">
        <v>2</v>
      </c>
      <c r="H94" s="54">
        <v>16647</v>
      </c>
      <c r="I94" s="54">
        <v>8856</v>
      </c>
      <c r="J94" s="164">
        <v>7478.5370000000003</v>
      </c>
      <c r="K94" s="56">
        <f t="shared" si="20"/>
        <v>5.8757786016319515E-2</v>
      </c>
      <c r="L94" s="136">
        <v>3</v>
      </c>
      <c r="M94" s="137">
        <v>52074</v>
      </c>
      <c r="N94" s="137">
        <v>22712</v>
      </c>
      <c r="O94" s="171">
        <v>19789.987000000001</v>
      </c>
      <c r="P94" s="139">
        <f t="shared" si="21"/>
        <v>0.16595654020521214</v>
      </c>
      <c r="Q94" s="136">
        <v>2</v>
      </c>
      <c r="R94" s="137">
        <v>38456</v>
      </c>
      <c r="S94" s="137">
        <v>15881</v>
      </c>
      <c r="T94" s="171">
        <v>14232.748</v>
      </c>
      <c r="U94" s="139">
        <f t="shared" si="22"/>
        <v>0.11358835782436287</v>
      </c>
      <c r="V94" s="136">
        <v>2</v>
      </c>
      <c r="W94" s="137">
        <v>41467</v>
      </c>
      <c r="X94" s="137">
        <v>15576</v>
      </c>
      <c r="Y94" s="171">
        <v>14208.072</v>
      </c>
      <c r="Z94" s="139">
        <f t="shared" si="23"/>
        <v>0.11031438033753654</v>
      </c>
    </row>
    <row r="95" spans="1:26" x14ac:dyDescent="0.2">
      <c r="A95" s="114" t="str">
        <f>$A$15</f>
        <v>10% – 14%</v>
      </c>
      <c r="B95" s="36">
        <v>4</v>
      </c>
      <c r="C95" s="10">
        <v>49371</v>
      </c>
      <c r="D95" s="10">
        <v>21218</v>
      </c>
      <c r="E95" s="154">
        <v>18544.223999999998</v>
      </c>
      <c r="F95" s="37">
        <f t="shared" si="19"/>
        <v>0.13837928370736366</v>
      </c>
      <c r="G95" s="53">
        <v>5</v>
      </c>
      <c r="H95" s="54">
        <v>67693</v>
      </c>
      <c r="I95" s="54">
        <v>29193</v>
      </c>
      <c r="J95" s="164">
        <v>23384.705000000002</v>
      </c>
      <c r="K95" s="56">
        <f t="shared" si="20"/>
        <v>0.18373025264764448</v>
      </c>
      <c r="L95" s="136">
        <v>4</v>
      </c>
      <c r="M95" s="137">
        <v>29293</v>
      </c>
      <c r="N95" s="137">
        <v>11842</v>
      </c>
      <c r="O95" s="171">
        <v>9291.4950000000008</v>
      </c>
      <c r="P95" s="139">
        <f t="shared" si="21"/>
        <v>7.7917401539173703E-2</v>
      </c>
      <c r="Q95" s="136">
        <v>3</v>
      </c>
      <c r="R95" s="137">
        <v>19032</v>
      </c>
      <c r="S95" s="137">
        <v>5388</v>
      </c>
      <c r="T95" s="171">
        <v>4992.2860000000001</v>
      </c>
      <c r="U95" s="139">
        <f t="shared" si="22"/>
        <v>3.9842310742068732E-2</v>
      </c>
      <c r="V95" s="136">
        <v>3</v>
      </c>
      <c r="W95" s="137">
        <v>18752</v>
      </c>
      <c r="X95" s="137">
        <v>5407</v>
      </c>
      <c r="Y95" s="171">
        <v>4485.9139999999998</v>
      </c>
      <c r="Z95" s="139">
        <f t="shared" si="23"/>
        <v>3.4829554858497327E-2</v>
      </c>
    </row>
    <row r="96" spans="1:26" x14ac:dyDescent="0.2">
      <c r="A96" s="114" t="str">
        <f>$A$16</f>
        <v>15% – 19%</v>
      </c>
      <c r="B96" s="36">
        <v>11</v>
      </c>
      <c r="C96" s="10">
        <v>125581</v>
      </c>
      <c r="D96" s="10">
        <v>65301</v>
      </c>
      <c r="E96" s="154">
        <v>53925.114999999998</v>
      </c>
      <c r="F96" s="37">
        <f t="shared" si="19"/>
        <v>0.40239585045657411</v>
      </c>
      <c r="G96" s="53">
        <v>8</v>
      </c>
      <c r="H96" s="54">
        <v>76640</v>
      </c>
      <c r="I96" s="54">
        <v>36077</v>
      </c>
      <c r="J96" s="164">
        <v>30221.777999999998</v>
      </c>
      <c r="K96" s="56">
        <f t="shared" si="20"/>
        <v>0.23744814858263222</v>
      </c>
      <c r="L96" s="136">
        <v>9</v>
      </c>
      <c r="M96" s="137">
        <v>81615</v>
      </c>
      <c r="N96" s="137">
        <v>45010</v>
      </c>
      <c r="O96" s="171">
        <v>35775.872000000003</v>
      </c>
      <c r="P96" s="139">
        <f t="shared" si="21"/>
        <v>0.30001232137972217</v>
      </c>
      <c r="Q96" s="136">
        <v>5</v>
      </c>
      <c r="R96" s="137">
        <v>11433</v>
      </c>
      <c r="S96" s="137">
        <v>6841</v>
      </c>
      <c r="T96" s="171">
        <v>5385.8</v>
      </c>
      <c r="U96" s="139">
        <f t="shared" si="22"/>
        <v>4.2982857391310067E-2</v>
      </c>
      <c r="V96" s="136">
        <v>6</v>
      </c>
      <c r="W96" s="137">
        <v>21019</v>
      </c>
      <c r="X96" s="137">
        <v>9164</v>
      </c>
      <c r="Y96" s="171">
        <v>8487.6890000000003</v>
      </c>
      <c r="Z96" s="139">
        <f t="shared" si="23"/>
        <v>6.5900155385806403E-2</v>
      </c>
    </row>
    <row r="97" spans="1:26" ht="12.75" customHeight="1" x14ac:dyDescent="0.2">
      <c r="A97" s="114" t="str">
        <f>$A$17</f>
        <v>20% – 24%</v>
      </c>
      <c r="B97" s="36">
        <v>7</v>
      </c>
      <c r="C97" s="10">
        <v>40924</v>
      </c>
      <c r="D97" s="10">
        <v>18111</v>
      </c>
      <c r="E97" s="154">
        <v>16289.513999999999</v>
      </c>
      <c r="F97" s="37">
        <f t="shared" si="19"/>
        <v>0.12155435995925591</v>
      </c>
      <c r="G97" s="53">
        <v>12</v>
      </c>
      <c r="H97" s="54">
        <v>91528</v>
      </c>
      <c r="I97" s="54">
        <v>42780</v>
      </c>
      <c r="J97" s="164">
        <v>36507.811000000002</v>
      </c>
      <c r="K97" s="56">
        <f t="shared" si="20"/>
        <v>0.28683660275562395</v>
      </c>
      <c r="L97" s="136">
        <v>7</v>
      </c>
      <c r="M97" s="137">
        <v>24671</v>
      </c>
      <c r="N97" s="137">
        <v>11701</v>
      </c>
      <c r="O97" s="171">
        <v>9501.9220000000005</v>
      </c>
      <c r="P97" s="139">
        <f t="shared" si="21"/>
        <v>7.9682018003336227E-2</v>
      </c>
      <c r="Q97" s="136">
        <v>9</v>
      </c>
      <c r="R97" s="137">
        <v>76205</v>
      </c>
      <c r="S97" s="137">
        <v>36440</v>
      </c>
      <c r="T97" s="171">
        <v>28657.859</v>
      </c>
      <c r="U97" s="139">
        <f t="shared" si="22"/>
        <v>0.22871192144848895</v>
      </c>
      <c r="V97" s="136">
        <v>14</v>
      </c>
      <c r="W97" s="137">
        <v>69225</v>
      </c>
      <c r="X97" s="137">
        <v>38252</v>
      </c>
      <c r="Y97" s="171">
        <v>28184.798999999999</v>
      </c>
      <c r="Z97" s="139">
        <f t="shared" si="23"/>
        <v>0.2188325507234915</v>
      </c>
    </row>
    <row r="98" spans="1:26" ht="12.75" customHeight="1" x14ac:dyDescent="0.2">
      <c r="A98" s="114" t="str">
        <f>$A$18</f>
        <v>25% oder mehr</v>
      </c>
      <c r="B98" s="36">
        <v>5</v>
      </c>
      <c r="C98" s="10">
        <v>79864</v>
      </c>
      <c r="D98" s="10">
        <v>34935</v>
      </c>
      <c r="E98" s="154">
        <v>31314.671000000002</v>
      </c>
      <c r="F98" s="37">
        <f t="shared" si="19"/>
        <v>0.2336739322449812</v>
      </c>
      <c r="G98" s="53">
        <v>4</v>
      </c>
      <c r="H98" s="54">
        <v>59648</v>
      </c>
      <c r="I98" s="54">
        <v>27582</v>
      </c>
      <c r="J98" s="164">
        <v>24869.539000000001</v>
      </c>
      <c r="K98" s="56">
        <f t="shared" si="20"/>
        <v>0.19539637911619784</v>
      </c>
      <c r="L98" s="136">
        <v>6</v>
      </c>
      <c r="M98" s="137">
        <v>75312</v>
      </c>
      <c r="N98" s="137">
        <v>34701</v>
      </c>
      <c r="O98" s="171">
        <v>30541.787999999997</v>
      </c>
      <c r="P98" s="139">
        <f t="shared" si="21"/>
        <v>0.25611989882363567</v>
      </c>
      <c r="Q98" s="136">
        <v>10</v>
      </c>
      <c r="R98" s="137">
        <v>103640</v>
      </c>
      <c r="S98" s="137">
        <v>44321</v>
      </c>
      <c r="T98" s="171">
        <v>37531.063999999998</v>
      </c>
      <c r="U98" s="139">
        <f t="shared" si="22"/>
        <v>0.2995269730877736</v>
      </c>
      <c r="V98" s="136">
        <v>13</v>
      </c>
      <c r="W98" s="137">
        <v>130429</v>
      </c>
      <c r="X98" s="137">
        <v>58504</v>
      </c>
      <c r="Y98" s="171">
        <v>48364.405000000006</v>
      </c>
      <c r="Z98" s="139">
        <f t="shared" si="23"/>
        <v>0.37551114380393447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0.99999999999999978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5">
    <pageSetUpPr fitToPage="1"/>
  </sheetPr>
  <dimension ref="A1:Y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4" width="11" style="1"/>
    <col min="25" max="25" width="11" style="166"/>
    <col min="26" max="16384" width="11" style="1"/>
  </cols>
  <sheetData>
    <row r="1" spans="1:25" s="22" customFormat="1" ht="18" x14ac:dyDescent="0.25">
      <c r="A1" s="109" t="str">
        <f>Translation!$A$345</f>
        <v>Geschätzte Volatilität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Y1" s="157"/>
    </row>
    <row r="2" spans="1:25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Y2" s="158"/>
    </row>
    <row r="3" spans="1:25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Y3" s="158"/>
    </row>
    <row r="4" spans="1:25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Y4" s="158"/>
    </row>
    <row r="5" spans="1:25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Y5" s="159"/>
    </row>
    <row r="6" spans="1:25" x14ac:dyDescent="0.2">
      <c r="M6" s="75"/>
      <c r="N6" s="75"/>
      <c r="R6" s="75"/>
      <c r="S6" s="75"/>
    </row>
    <row r="7" spans="1:25" ht="12.75" hidden="1" customHeight="1" x14ac:dyDescent="0.2">
      <c r="M7" s="75"/>
      <c r="N7" s="75"/>
      <c r="R7" s="75"/>
      <c r="S7" s="75"/>
    </row>
    <row r="8" spans="1:25" ht="12.75" hidden="1" customHeight="1" x14ac:dyDescent="0.2">
      <c r="M8" s="75"/>
      <c r="N8" s="75"/>
      <c r="R8" s="75"/>
      <c r="S8" s="75"/>
    </row>
    <row r="9" spans="1:25" ht="12.75" hidden="1" customHeight="1" x14ac:dyDescent="0.2">
      <c r="M9" s="75"/>
      <c r="N9" s="75"/>
      <c r="R9" s="75"/>
      <c r="S9" s="75"/>
    </row>
    <row r="10" spans="1:25" x14ac:dyDescent="0.2">
      <c r="M10" s="75"/>
      <c r="N10" s="75"/>
      <c r="R10" s="75"/>
      <c r="S10" s="75"/>
    </row>
    <row r="11" spans="1:25" x14ac:dyDescent="0.2">
      <c r="A11" s="113" t="str">
        <f>Translation!$A$29</f>
        <v>alle Vorsorgeeinrichtungen</v>
      </c>
      <c r="E11" s="156"/>
      <c r="O11" s="156"/>
      <c r="T11" s="156"/>
    </row>
    <row r="12" spans="1:25" x14ac:dyDescent="0.2">
      <c r="A12" s="114" t="str">
        <f>Translation!$A346</f>
        <v>nicht definiert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8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8" si="1">J12/J$36</f>
        <v>0.11374397771050687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8" si="2">O12/O$36</f>
        <v>0.11985337695814698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8" si="3">T12/T$36</f>
        <v>0.1272026987665395</v>
      </c>
    </row>
    <row r="13" spans="1:25" x14ac:dyDescent="0.2">
      <c r="A13" s="114" t="str">
        <f>Translation!$A347</f>
        <v>unter 1.0%</v>
      </c>
      <c r="B13" s="30">
        <v>14</v>
      </c>
      <c r="C13" s="6">
        <v>999</v>
      </c>
      <c r="D13" s="6">
        <v>119</v>
      </c>
      <c r="E13" s="150">
        <v>199.18799999999999</v>
      </c>
      <c r="F13" s="31">
        <f t="shared" si="0"/>
        <v>2.2051444041284015E-4</v>
      </c>
      <c r="G13" s="41">
        <v>18</v>
      </c>
      <c r="H13" s="42">
        <v>7058</v>
      </c>
      <c r="I13" s="42">
        <v>44</v>
      </c>
      <c r="J13" s="160">
        <v>781.15099999999995</v>
      </c>
      <c r="K13" s="44">
        <f t="shared" si="1"/>
        <v>9.0824632295670807E-4</v>
      </c>
      <c r="L13" s="76">
        <v>23</v>
      </c>
      <c r="M13" s="122">
        <v>7323</v>
      </c>
      <c r="N13" s="122">
        <v>86</v>
      </c>
      <c r="O13" s="167">
        <v>893.28500000000008</v>
      </c>
      <c r="P13" s="124">
        <f t="shared" si="2"/>
        <v>1.0850977854481715E-3</v>
      </c>
      <c r="Q13" s="76">
        <v>30</v>
      </c>
      <c r="R13" s="122">
        <v>9447</v>
      </c>
      <c r="S13" s="122">
        <v>167</v>
      </c>
      <c r="T13" s="167">
        <v>1000.188</v>
      </c>
      <c r="U13" s="124">
        <f t="shared" si="3"/>
        <v>1.2439669382654352E-3</v>
      </c>
    </row>
    <row r="14" spans="1:25" x14ac:dyDescent="0.2">
      <c r="A14" s="114" t="str">
        <f>Translation!$A348</f>
        <v>1.0% – 2.9%</v>
      </c>
      <c r="B14" s="30">
        <v>26</v>
      </c>
      <c r="C14" s="6">
        <v>1943</v>
      </c>
      <c r="D14" s="6">
        <v>1989</v>
      </c>
      <c r="E14" s="150">
        <v>1370.7919999999999</v>
      </c>
      <c r="F14" s="31">
        <f t="shared" si="0"/>
        <v>1.5175584412836013E-3</v>
      </c>
      <c r="G14" s="41">
        <v>32</v>
      </c>
      <c r="H14" s="42">
        <v>3129</v>
      </c>
      <c r="I14" s="42">
        <v>1854</v>
      </c>
      <c r="J14" s="160">
        <v>1472.28</v>
      </c>
      <c r="K14" s="44">
        <f t="shared" si="1"/>
        <v>1.7118238296599533E-3</v>
      </c>
      <c r="L14" s="76">
        <v>34</v>
      </c>
      <c r="M14" s="122">
        <v>2403</v>
      </c>
      <c r="N14" s="122">
        <v>2112</v>
      </c>
      <c r="O14" s="167">
        <v>1562.779</v>
      </c>
      <c r="P14" s="124">
        <f t="shared" si="2"/>
        <v>1.8983505063276645E-3</v>
      </c>
      <c r="Q14" s="76">
        <v>54</v>
      </c>
      <c r="R14" s="122">
        <v>86668</v>
      </c>
      <c r="S14" s="122">
        <v>14085</v>
      </c>
      <c r="T14" s="167">
        <v>7503.5039999999999</v>
      </c>
      <c r="U14" s="124">
        <f t="shared" si="3"/>
        <v>9.3323564141365879E-3</v>
      </c>
    </row>
    <row r="15" spans="1:25" x14ac:dyDescent="0.2">
      <c r="A15" s="114" t="str">
        <f>Translation!$A349</f>
        <v>3.0% – 4.9%</v>
      </c>
      <c r="B15" s="30">
        <v>281</v>
      </c>
      <c r="C15" s="6">
        <v>265135</v>
      </c>
      <c r="D15" s="6">
        <v>92893</v>
      </c>
      <c r="E15" s="150">
        <v>70634.000999999989</v>
      </c>
      <c r="F15" s="31">
        <f t="shared" si="0"/>
        <v>7.8196564073312602E-2</v>
      </c>
      <c r="G15" s="41">
        <v>315</v>
      </c>
      <c r="H15" s="42">
        <v>285240</v>
      </c>
      <c r="I15" s="42">
        <v>103564</v>
      </c>
      <c r="J15" s="160">
        <v>78290.198999999993</v>
      </c>
      <c r="K15" s="44">
        <f t="shared" si="1"/>
        <v>9.1028220363667131E-2</v>
      </c>
      <c r="L15" s="76">
        <v>359</v>
      </c>
      <c r="M15" s="122">
        <v>335034</v>
      </c>
      <c r="N15" s="122">
        <v>105309</v>
      </c>
      <c r="O15" s="167">
        <v>81800.373999999996</v>
      </c>
      <c r="P15" s="124">
        <f t="shared" si="2"/>
        <v>9.9365157453928113E-2</v>
      </c>
      <c r="Q15" s="76">
        <v>519</v>
      </c>
      <c r="R15" s="122">
        <v>504968</v>
      </c>
      <c r="S15" s="122">
        <v>147996</v>
      </c>
      <c r="T15" s="167">
        <v>118658.56499999999</v>
      </c>
      <c r="U15" s="124">
        <f t="shared" si="3"/>
        <v>0.14757958683969424</v>
      </c>
    </row>
    <row r="16" spans="1:25" x14ac:dyDescent="0.2">
      <c r="A16" s="114" t="str">
        <f>Translation!$A350</f>
        <v>5.0% – 6.9%</v>
      </c>
      <c r="B16" s="30">
        <v>958</v>
      </c>
      <c r="C16" s="6">
        <v>2335694</v>
      </c>
      <c r="D16" s="6">
        <v>682670</v>
      </c>
      <c r="E16" s="150">
        <v>591160.38500000001</v>
      </c>
      <c r="F16" s="31">
        <f t="shared" si="0"/>
        <v>0.65445409107232433</v>
      </c>
      <c r="G16" s="41">
        <v>959</v>
      </c>
      <c r="H16" s="42">
        <v>2263713</v>
      </c>
      <c r="I16" s="42">
        <v>647215</v>
      </c>
      <c r="J16" s="160">
        <v>548888.272</v>
      </c>
      <c r="K16" s="44">
        <f t="shared" si="1"/>
        <v>0.63819383801347174</v>
      </c>
      <c r="L16" s="76">
        <v>1003</v>
      </c>
      <c r="M16" s="122">
        <v>2238937</v>
      </c>
      <c r="N16" s="122">
        <v>631528</v>
      </c>
      <c r="O16" s="167">
        <v>521640.13699999999</v>
      </c>
      <c r="P16" s="124">
        <f t="shared" si="2"/>
        <v>0.63365057899727484</v>
      </c>
      <c r="Q16" s="76">
        <v>982</v>
      </c>
      <c r="R16" s="122">
        <v>2175825</v>
      </c>
      <c r="S16" s="122">
        <v>625431</v>
      </c>
      <c r="T16" s="167">
        <v>510345.88799999998</v>
      </c>
      <c r="U16" s="124">
        <f t="shared" si="3"/>
        <v>0.63473408174434665</v>
      </c>
    </row>
    <row r="17" spans="1:21" ht="12.75" customHeight="1" x14ac:dyDescent="0.2">
      <c r="A17" s="110" t="str">
        <f>Translation!$A351</f>
        <v>7.0% – 8.9%</v>
      </c>
      <c r="B17" s="30">
        <v>227</v>
      </c>
      <c r="C17" s="6">
        <v>470631</v>
      </c>
      <c r="D17" s="6">
        <v>132384</v>
      </c>
      <c r="E17" s="150">
        <v>130053.27800000001</v>
      </c>
      <c r="F17" s="31">
        <f t="shared" si="0"/>
        <v>0.14397767848477588</v>
      </c>
      <c r="G17" s="41">
        <v>211</v>
      </c>
      <c r="H17" s="42">
        <v>415425</v>
      </c>
      <c r="I17" s="42">
        <v>129552</v>
      </c>
      <c r="J17" s="160">
        <v>124584.321</v>
      </c>
      <c r="K17" s="44">
        <f t="shared" si="1"/>
        <v>0.1448545178157721</v>
      </c>
      <c r="L17" s="76">
        <v>169</v>
      </c>
      <c r="M17" s="122">
        <v>346735</v>
      </c>
      <c r="N17" s="122">
        <v>121742</v>
      </c>
      <c r="O17" s="167">
        <v>110435.663</v>
      </c>
      <c r="P17" s="124">
        <f t="shared" si="2"/>
        <v>0.13414922824832004</v>
      </c>
      <c r="Q17" s="76">
        <v>96</v>
      </c>
      <c r="R17" s="122">
        <v>197173</v>
      </c>
      <c r="S17" s="122">
        <v>71316</v>
      </c>
      <c r="T17" s="167">
        <v>56997.471999999994</v>
      </c>
      <c r="U17" s="124">
        <f t="shared" si="3"/>
        <v>7.088964347973567E-2</v>
      </c>
    </row>
    <row r="18" spans="1:21" ht="12.75" customHeight="1" x14ac:dyDescent="0.2">
      <c r="A18" s="110" t="str">
        <f>Translation!$A352</f>
        <v>9.0% oder höher</v>
      </c>
      <c r="B18" s="30">
        <v>27</v>
      </c>
      <c r="C18" s="6">
        <v>26766</v>
      </c>
      <c r="D18" s="6">
        <v>6540</v>
      </c>
      <c r="E18" s="150">
        <v>10188.343000000001</v>
      </c>
      <c r="F18" s="31">
        <f t="shared" si="0"/>
        <v>1.1279177236475476E-2</v>
      </c>
      <c r="G18" s="41">
        <v>21</v>
      </c>
      <c r="H18" s="42">
        <v>21835</v>
      </c>
      <c r="I18" s="42">
        <v>5440</v>
      </c>
      <c r="J18" s="160">
        <v>8221.6859999999997</v>
      </c>
      <c r="K18" s="44">
        <f t="shared" si="1"/>
        <v>9.5593759439655656E-3</v>
      </c>
      <c r="L18" s="76">
        <v>19</v>
      </c>
      <c r="M18" s="122">
        <v>21048</v>
      </c>
      <c r="N18" s="122">
        <v>5554</v>
      </c>
      <c r="O18" s="167">
        <v>8230.8259999999991</v>
      </c>
      <c r="P18" s="124">
        <f t="shared" si="2"/>
        <v>9.9982100505541117E-3</v>
      </c>
      <c r="Q18" s="76">
        <v>15</v>
      </c>
      <c r="R18" s="122">
        <v>15251</v>
      </c>
      <c r="S18" s="122">
        <v>4690</v>
      </c>
      <c r="T18" s="167">
        <v>7250.4830000000002</v>
      </c>
      <c r="U18" s="124">
        <f t="shared" si="3"/>
        <v>9.0176658172819377E-3</v>
      </c>
    </row>
    <row r="19" spans="1:2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1654</v>
      </c>
      <c r="C36" s="7">
        <f t="shared" ref="C36:E36" si="4">SUM(C$12:C$35)</f>
        <v>4175912</v>
      </c>
      <c r="D36" s="7">
        <f t="shared" si="4"/>
        <v>917491</v>
      </c>
      <c r="E36" s="151">
        <f t="shared" si="4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5">SUM(H$12:H$35)</f>
        <v>4050094</v>
      </c>
      <c r="I36" s="65">
        <f t="shared" si="5"/>
        <v>888825</v>
      </c>
      <c r="J36" s="161">
        <f t="shared" si="5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6">SUM(M$12:M$35)</f>
        <v>4038155</v>
      </c>
      <c r="N36" s="125">
        <f t="shared" si="6"/>
        <v>878601</v>
      </c>
      <c r="O36" s="168">
        <f t="shared" si="6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7">SUM(R$12:R$35)</f>
        <v>4004037</v>
      </c>
      <c r="S36" s="125">
        <f t="shared" si="7"/>
        <v>868818</v>
      </c>
      <c r="T36" s="168">
        <f t="shared" si="7"/>
        <v>804031.0149999999</v>
      </c>
      <c r="U36" s="127">
        <f>SUM(U$12:U$35)</f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O51" s="156"/>
      <c r="T51" s="156"/>
    </row>
    <row r="52" spans="1:21" x14ac:dyDescent="0.2">
      <c r="A52" s="114" t="str">
        <f>$A$12</f>
        <v>nicht definiert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8" si="8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8" si="9">J52/J$76</f>
        <v>0.13350008739228941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8" si="10">O52/O$76</f>
        <v>0.14015542685544299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8" si="11">T52/T$76</f>
        <v>0.15068573691933379</v>
      </c>
    </row>
    <row r="53" spans="1:21" x14ac:dyDescent="0.2">
      <c r="A53" s="114" t="str">
        <f>$A$13</f>
        <v>unter 1.0%</v>
      </c>
      <c r="B53" s="33">
        <v>13</v>
      </c>
      <c r="C53" s="8">
        <v>988</v>
      </c>
      <c r="D53" s="8">
        <v>94</v>
      </c>
      <c r="E53" s="152">
        <v>139.411</v>
      </c>
      <c r="F53" s="34">
        <f t="shared" si="8"/>
        <v>1.8122325157948887E-4</v>
      </c>
      <c r="G53" s="47">
        <v>17</v>
      </c>
      <c r="H53" s="48">
        <v>7047</v>
      </c>
      <c r="I53" s="48">
        <v>19</v>
      </c>
      <c r="J53" s="162">
        <v>722.28899999999999</v>
      </c>
      <c r="K53" s="50">
        <f t="shared" si="9"/>
        <v>9.8567285021245441E-4</v>
      </c>
      <c r="L53" s="128">
        <v>22</v>
      </c>
      <c r="M53" s="129">
        <v>7312</v>
      </c>
      <c r="N53" s="129">
        <v>60</v>
      </c>
      <c r="O53" s="169">
        <v>835.56100000000004</v>
      </c>
      <c r="P53" s="131">
        <f t="shared" si="10"/>
        <v>1.1869068602320474E-3</v>
      </c>
      <c r="Q53" s="128">
        <v>28</v>
      </c>
      <c r="R53" s="129">
        <v>9434</v>
      </c>
      <c r="S53" s="129">
        <v>129</v>
      </c>
      <c r="T53" s="169">
        <v>923.65300000000002</v>
      </c>
      <c r="U53" s="131">
        <f t="shared" si="11"/>
        <v>1.3608550343234549E-3</v>
      </c>
    </row>
    <row r="54" spans="1:21" x14ac:dyDescent="0.2">
      <c r="A54" s="114" t="str">
        <f>$A$14</f>
        <v>1.0% – 2.9%</v>
      </c>
      <c r="B54" s="33">
        <v>26</v>
      </c>
      <c r="C54" s="8">
        <v>1943</v>
      </c>
      <c r="D54" s="8">
        <v>1989</v>
      </c>
      <c r="E54" s="152">
        <v>1370.7919999999999</v>
      </c>
      <c r="F54" s="34">
        <f t="shared" si="8"/>
        <v>1.7819209637629074E-3</v>
      </c>
      <c r="G54" s="47">
        <v>32</v>
      </c>
      <c r="H54" s="48">
        <v>3129</v>
      </c>
      <c r="I54" s="48">
        <v>1854</v>
      </c>
      <c r="J54" s="162">
        <v>1472.28</v>
      </c>
      <c r="K54" s="50">
        <f t="shared" si="9"/>
        <v>2.0091492794584889E-3</v>
      </c>
      <c r="L54" s="128">
        <v>34</v>
      </c>
      <c r="M54" s="129">
        <v>2403</v>
      </c>
      <c r="N54" s="129">
        <v>2112</v>
      </c>
      <c r="O54" s="169">
        <v>1562.779</v>
      </c>
      <c r="P54" s="131">
        <f t="shared" si="10"/>
        <v>2.2199134666727851E-3</v>
      </c>
      <c r="Q54" s="128">
        <v>53</v>
      </c>
      <c r="R54" s="129">
        <v>86663</v>
      </c>
      <c r="S54" s="129">
        <v>14022</v>
      </c>
      <c r="T54" s="169">
        <v>7451.8789999999999</v>
      </c>
      <c r="U54" s="131">
        <f t="shared" si="11"/>
        <v>1.0979152400651795E-2</v>
      </c>
    </row>
    <row r="55" spans="1:21" x14ac:dyDescent="0.2">
      <c r="A55" s="114" t="str">
        <f>$A$15</f>
        <v>3.0% – 4.9%</v>
      </c>
      <c r="B55" s="33">
        <v>275</v>
      </c>
      <c r="C55" s="8">
        <v>247157</v>
      </c>
      <c r="D55" s="8">
        <v>83205</v>
      </c>
      <c r="E55" s="152">
        <v>62572.394999999997</v>
      </c>
      <c r="F55" s="34">
        <f t="shared" si="8"/>
        <v>8.1339154593368893E-2</v>
      </c>
      <c r="G55" s="47">
        <v>309</v>
      </c>
      <c r="H55" s="48">
        <v>267263</v>
      </c>
      <c r="I55" s="48">
        <v>94239</v>
      </c>
      <c r="J55" s="162">
        <v>70537.324999999997</v>
      </c>
      <c r="K55" s="50">
        <f t="shared" si="9"/>
        <v>9.6258874465916286E-2</v>
      </c>
      <c r="L55" s="128">
        <v>352</v>
      </c>
      <c r="M55" s="129">
        <v>299281</v>
      </c>
      <c r="N55" s="129">
        <v>91151</v>
      </c>
      <c r="O55" s="169">
        <v>69527.471999999994</v>
      </c>
      <c r="P55" s="131">
        <f t="shared" si="10"/>
        <v>9.8763146546322275E-2</v>
      </c>
      <c r="Q55" s="128">
        <v>507</v>
      </c>
      <c r="R55" s="129">
        <v>443780</v>
      </c>
      <c r="S55" s="129">
        <v>125885</v>
      </c>
      <c r="T55" s="169">
        <v>99523.68</v>
      </c>
      <c r="U55" s="131">
        <f t="shared" si="11"/>
        <v>0.1466322319771565</v>
      </c>
    </row>
    <row r="56" spans="1:21" x14ac:dyDescent="0.2">
      <c r="A56" s="114" t="str">
        <f>$A$16</f>
        <v>5.0% – 6.9%</v>
      </c>
      <c r="B56" s="33">
        <v>928</v>
      </c>
      <c r="C56" s="8">
        <v>2046872</v>
      </c>
      <c r="D56" s="8">
        <v>545205</v>
      </c>
      <c r="E56" s="152">
        <v>471226.929</v>
      </c>
      <c r="F56" s="34">
        <f t="shared" si="8"/>
        <v>0.61255766263205158</v>
      </c>
      <c r="G56" s="47">
        <v>928</v>
      </c>
      <c r="H56" s="48">
        <v>2007001</v>
      </c>
      <c r="I56" s="48">
        <v>529809</v>
      </c>
      <c r="J56" s="162">
        <v>450084.53700000001</v>
      </c>
      <c r="K56" s="50">
        <f t="shared" si="9"/>
        <v>0.61420859021990215</v>
      </c>
      <c r="L56" s="128">
        <v>974</v>
      </c>
      <c r="M56" s="129">
        <v>2012629</v>
      </c>
      <c r="N56" s="129">
        <v>524907</v>
      </c>
      <c r="O56" s="169">
        <v>433534.67200000002</v>
      </c>
      <c r="P56" s="131">
        <f t="shared" si="10"/>
        <v>0.61583208927325539</v>
      </c>
      <c r="Q56" s="128">
        <v>955</v>
      </c>
      <c r="R56" s="129">
        <v>1943179</v>
      </c>
      <c r="S56" s="129">
        <v>516613</v>
      </c>
      <c r="T56" s="169">
        <v>422776.95199999999</v>
      </c>
      <c r="U56" s="131">
        <f t="shared" si="11"/>
        <v>0.62289425089847117</v>
      </c>
    </row>
    <row r="57" spans="1:21" ht="12.75" customHeight="1" x14ac:dyDescent="0.2">
      <c r="A57" s="114" t="str">
        <f>$A$17</f>
        <v>7.0% – 8.9%</v>
      </c>
      <c r="B57" s="33">
        <v>226</v>
      </c>
      <c r="C57" s="8">
        <v>451719</v>
      </c>
      <c r="D57" s="8">
        <v>123378</v>
      </c>
      <c r="E57" s="152">
        <v>124098</v>
      </c>
      <c r="F57" s="34">
        <f t="shared" si="8"/>
        <v>0.16131756514558684</v>
      </c>
      <c r="G57" s="47">
        <v>210</v>
      </c>
      <c r="H57" s="48">
        <v>368085</v>
      </c>
      <c r="I57" s="48">
        <v>106210</v>
      </c>
      <c r="J57" s="162">
        <v>103922.413</v>
      </c>
      <c r="K57" s="50">
        <f t="shared" si="9"/>
        <v>0.14181788871582679</v>
      </c>
      <c r="L57" s="128">
        <v>168</v>
      </c>
      <c r="M57" s="129">
        <v>300464</v>
      </c>
      <c r="N57" s="129">
        <v>98713</v>
      </c>
      <c r="O57" s="169">
        <v>91623.744999999995</v>
      </c>
      <c r="P57" s="131">
        <f t="shared" si="10"/>
        <v>0.13015070294167841</v>
      </c>
      <c r="Q57" s="128">
        <v>95</v>
      </c>
      <c r="R57" s="129">
        <v>151645</v>
      </c>
      <c r="S57" s="129">
        <v>48434</v>
      </c>
      <c r="T57" s="169">
        <v>38528.337</v>
      </c>
      <c r="U57" s="131">
        <f t="shared" si="11"/>
        <v>5.676534517893693E-2</v>
      </c>
    </row>
    <row r="58" spans="1:21" ht="12.75" customHeight="1" x14ac:dyDescent="0.2">
      <c r="A58" s="114" t="str">
        <f>$A$18</f>
        <v>9.0% oder höher</v>
      </c>
      <c r="B58" s="33">
        <v>27</v>
      </c>
      <c r="C58" s="8">
        <v>26766</v>
      </c>
      <c r="D58" s="8">
        <v>6540</v>
      </c>
      <c r="E58" s="152">
        <v>10188.343000000001</v>
      </c>
      <c r="F58" s="34">
        <f t="shared" si="8"/>
        <v>1.3244038466599654E-2</v>
      </c>
      <c r="G58" s="47">
        <v>21</v>
      </c>
      <c r="H58" s="48">
        <v>21835</v>
      </c>
      <c r="I58" s="48">
        <v>5440</v>
      </c>
      <c r="J58" s="162">
        <v>8221.6859999999997</v>
      </c>
      <c r="K58" s="50">
        <f t="shared" si="9"/>
        <v>1.1219737076394398E-2</v>
      </c>
      <c r="L58" s="128">
        <v>19</v>
      </c>
      <c r="M58" s="129">
        <v>21048</v>
      </c>
      <c r="N58" s="129">
        <v>5554</v>
      </c>
      <c r="O58" s="169">
        <v>8230.8259999999991</v>
      </c>
      <c r="P58" s="131">
        <f t="shared" si="10"/>
        <v>1.1691814056396004E-2</v>
      </c>
      <c r="Q58" s="128">
        <v>15</v>
      </c>
      <c r="R58" s="129">
        <v>15251</v>
      </c>
      <c r="S58" s="129">
        <v>4690</v>
      </c>
      <c r="T58" s="169">
        <v>7250.4830000000002</v>
      </c>
      <c r="U58" s="131">
        <f t="shared" si="11"/>
        <v>1.0682427591126349E-2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2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3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4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" si="15"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O91" s="156"/>
      <c r="T91" s="156"/>
    </row>
    <row r="92" spans="1:2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7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8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9">T92/T$116</f>
        <v>0</v>
      </c>
    </row>
    <row r="93" spans="1:21" x14ac:dyDescent="0.2">
      <c r="A93" s="114" t="str">
        <f>$A$13</f>
        <v>unter 1.0%</v>
      </c>
      <c r="B93" s="36">
        <v>1</v>
      </c>
      <c r="C93" s="10">
        <v>11</v>
      </c>
      <c r="D93" s="10">
        <v>25</v>
      </c>
      <c r="E93" s="154">
        <v>59.777000000000001</v>
      </c>
      <c r="F93" s="37">
        <f t="shared" si="16"/>
        <v>4.4606333714341883E-4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17"/>
        <v>4.6247023990021041E-4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 t="shared" si="18"/>
        <v>4.8406678219675762E-4</v>
      </c>
      <c r="Q93" s="136">
        <v>2</v>
      </c>
      <c r="R93" s="137">
        <v>13</v>
      </c>
      <c r="S93" s="137">
        <v>38</v>
      </c>
      <c r="T93" s="171">
        <v>76.534999999999997</v>
      </c>
      <c r="U93" s="139">
        <f t="shared" si="19"/>
        <v>6.1080860604625421E-4</v>
      </c>
    </row>
    <row r="94" spans="1:21" x14ac:dyDescent="0.2">
      <c r="A94" s="114" t="str">
        <f>$A$14</f>
        <v>1.0% – 2.9%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6"/>
        <v>0</v>
      </c>
      <c r="G94" s="53">
        <v>0</v>
      </c>
      <c r="H94" s="54">
        <v>0</v>
      </c>
      <c r="I94" s="54">
        <v>0</v>
      </c>
      <c r="J94" s="164">
        <v>0</v>
      </c>
      <c r="K94" s="56">
        <f t="shared" si="17"/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 t="shared" si="18"/>
        <v>0</v>
      </c>
      <c r="Q94" s="136">
        <v>1</v>
      </c>
      <c r="R94" s="137">
        <v>5</v>
      </c>
      <c r="S94" s="137">
        <v>63</v>
      </c>
      <c r="T94" s="171">
        <v>51.625</v>
      </c>
      <c r="U94" s="139">
        <f t="shared" si="19"/>
        <v>4.1200750358839585E-4</v>
      </c>
    </row>
    <row r="95" spans="1:21" x14ac:dyDescent="0.2">
      <c r="A95" s="114" t="str">
        <f>$A$15</f>
        <v>3.0% – 4.9%</v>
      </c>
      <c r="B95" s="36">
        <v>6</v>
      </c>
      <c r="C95" s="10">
        <v>17978</v>
      </c>
      <c r="D95" s="10">
        <v>9688</v>
      </c>
      <c r="E95" s="154">
        <v>8061.6059999999998</v>
      </c>
      <c r="F95" s="37">
        <f t="shared" si="16"/>
        <v>6.0156696975348513E-2</v>
      </c>
      <c r="G95" s="53">
        <v>6</v>
      </c>
      <c r="H95" s="54">
        <v>17977</v>
      </c>
      <c r="I95" s="54">
        <v>9325</v>
      </c>
      <c r="J95" s="164">
        <v>7752.8739999999998</v>
      </c>
      <c r="K95" s="56">
        <f t="shared" si="17"/>
        <v>6.0913212237030744E-2</v>
      </c>
      <c r="L95" s="136">
        <v>7</v>
      </c>
      <c r="M95" s="137">
        <v>35753</v>
      </c>
      <c r="N95" s="137">
        <v>14158</v>
      </c>
      <c r="O95" s="171">
        <v>12272.902</v>
      </c>
      <c r="P95" s="139">
        <f t="shared" si="18"/>
        <v>0.1029191355303886</v>
      </c>
      <c r="Q95" s="136">
        <v>12</v>
      </c>
      <c r="R95" s="137">
        <v>61188</v>
      </c>
      <c r="S95" s="137">
        <v>22111</v>
      </c>
      <c r="T95" s="171">
        <v>19134.884999999998</v>
      </c>
      <c r="U95" s="139">
        <f t="shared" si="19"/>
        <v>0.15271120969106133</v>
      </c>
    </row>
    <row r="96" spans="1:21" x14ac:dyDescent="0.2">
      <c r="A96" s="114" t="str">
        <f>$A$16</f>
        <v>5.0% – 6.9%</v>
      </c>
      <c r="B96" s="36">
        <v>30</v>
      </c>
      <c r="C96" s="10">
        <v>288822</v>
      </c>
      <c r="D96" s="10">
        <v>137465</v>
      </c>
      <c r="E96" s="154">
        <v>119933.45600000001</v>
      </c>
      <c r="F96" s="37">
        <f t="shared" si="16"/>
        <v>0.89495822169903794</v>
      </c>
      <c r="G96" s="53">
        <v>31</v>
      </c>
      <c r="H96" s="54">
        <v>256712</v>
      </c>
      <c r="I96" s="54">
        <v>117406</v>
      </c>
      <c r="J96" s="164">
        <v>98803.735000000001</v>
      </c>
      <c r="K96" s="56">
        <f t="shared" si="17"/>
        <v>0.77628668799033018</v>
      </c>
      <c r="L96" s="136">
        <v>29</v>
      </c>
      <c r="M96" s="137">
        <v>226308</v>
      </c>
      <c r="N96" s="137">
        <v>106621</v>
      </c>
      <c r="O96" s="171">
        <v>88105.464999999997</v>
      </c>
      <c r="P96" s="139">
        <f t="shared" si="18"/>
        <v>0.73884223090047563</v>
      </c>
      <c r="Q96" s="136">
        <v>27</v>
      </c>
      <c r="R96" s="137">
        <v>232646</v>
      </c>
      <c r="S96" s="137">
        <v>108818</v>
      </c>
      <c r="T96" s="171">
        <v>87568.936000000002</v>
      </c>
      <c r="U96" s="139">
        <f t="shared" si="19"/>
        <v>0.69886796538986939</v>
      </c>
    </row>
    <row r="97" spans="1:21" ht="12.75" customHeight="1" x14ac:dyDescent="0.2">
      <c r="A97" s="114" t="str">
        <f>$A$17</f>
        <v>7.0% – 8.9%</v>
      </c>
      <c r="B97" s="36">
        <v>1</v>
      </c>
      <c r="C97" s="10">
        <v>18912</v>
      </c>
      <c r="D97" s="10">
        <v>9006</v>
      </c>
      <c r="E97" s="154">
        <v>5955.2780000000002</v>
      </c>
      <c r="F97" s="37">
        <f t="shared" si="16"/>
        <v>4.4439017988470234E-2</v>
      </c>
      <c r="G97" s="53">
        <v>1</v>
      </c>
      <c r="H97" s="54">
        <v>47340</v>
      </c>
      <c r="I97" s="54">
        <v>23342</v>
      </c>
      <c r="J97" s="164">
        <v>20661.907999999999</v>
      </c>
      <c r="K97" s="56">
        <f t="shared" si="17"/>
        <v>0.16233762953273889</v>
      </c>
      <c r="L97" s="136">
        <v>1</v>
      </c>
      <c r="M97" s="137">
        <v>46271</v>
      </c>
      <c r="N97" s="137">
        <v>23029</v>
      </c>
      <c r="O97" s="171">
        <v>18811.918000000001</v>
      </c>
      <c r="P97" s="139">
        <f t="shared" si="18"/>
        <v>0.15775456678693897</v>
      </c>
      <c r="Q97" s="136">
        <v>1</v>
      </c>
      <c r="R97" s="137">
        <v>45528</v>
      </c>
      <c r="S97" s="137">
        <v>22882</v>
      </c>
      <c r="T97" s="171">
        <v>18469.134999999998</v>
      </c>
      <c r="U97" s="139">
        <f t="shared" si="19"/>
        <v>0.14739800880943471</v>
      </c>
    </row>
    <row r="98" spans="1:21" ht="12.75" customHeight="1" x14ac:dyDescent="0.2">
      <c r="A98" s="114" t="str">
        <f>$A$18</f>
        <v>9.0%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6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8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9"/>
        <v>0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0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1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2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" si="23">SUM(U$92:U$115)</f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L3:P3"/>
    <mergeCell ref="Q3:U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6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Translation!$A$353</f>
        <v>Ziel-Wertschwankungsreserven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</row>
    <row r="12" spans="1:26" x14ac:dyDescent="0.2">
      <c r="A12" s="114" t="str">
        <f>Translation!$A354</f>
        <v>nicht definiert</v>
      </c>
      <c r="B12" s="30">
        <v>121</v>
      </c>
      <c r="C12" s="6">
        <v>1074744</v>
      </c>
      <c r="D12" s="6">
        <v>896</v>
      </c>
      <c r="E12" s="150">
        <v>99681.796000000002</v>
      </c>
      <c r="F12" s="31">
        <f t="shared" ref="F12:F18" si="0">E12/E$36</f>
        <v>0.11035441625141519</v>
      </c>
      <c r="G12" s="41">
        <v>126</v>
      </c>
      <c r="H12" s="42">
        <v>1053694</v>
      </c>
      <c r="I12" s="42">
        <v>1156</v>
      </c>
      <c r="J12" s="160">
        <v>97827.23</v>
      </c>
      <c r="K12" s="44">
        <f t="shared" ref="K12:K18" si="1">J12/J$36</f>
        <v>0.11374397771050686</v>
      </c>
      <c r="L12" s="76">
        <v>136</v>
      </c>
      <c r="M12" s="122">
        <v>1086675</v>
      </c>
      <c r="N12" s="122">
        <v>12270</v>
      </c>
      <c r="O12" s="167">
        <v>98666.89</v>
      </c>
      <c r="P12" s="124">
        <f t="shared" ref="P12:P18" si="2">O12/O$36</f>
        <v>0.11985337695814696</v>
      </c>
      <c r="Q12" s="76">
        <v>149</v>
      </c>
      <c r="R12" s="122">
        <v>1014705</v>
      </c>
      <c r="S12" s="122">
        <v>5133</v>
      </c>
      <c r="T12" s="167">
        <v>102274.91499999999</v>
      </c>
      <c r="U12" s="124">
        <f t="shared" ref="U12:U18" si="3">T12/T$36</f>
        <v>0.12720269876653947</v>
      </c>
      <c r="V12" s="76">
        <v>165</v>
      </c>
      <c r="W12" s="122">
        <v>1041650</v>
      </c>
      <c r="X12" s="122">
        <v>90221</v>
      </c>
      <c r="Y12" s="167">
        <v>44874.271999999997</v>
      </c>
      <c r="Z12" s="124">
        <f t="shared" ref="Z12:Z18" si="4">Y12/Y$36</f>
        <v>6.0197170764879404E-2</v>
      </c>
    </row>
    <row r="13" spans="1:26" x14ac:dyDescent="0.2">
      <c r="A13" s="114" t="str">
        <f>Translation!$A377</f>
        <v>unter 5%</v>
      </c>
      <c r="B13" s="30">
        <v>75</v>
      </c>
      <c r="C13" s="6">
        <v>23571</v>
      </c>
      <c r="D13" s="6">
        <v>2388</v>
      </c>
      <c r="E13" s="150">
        <v>6264.9129999999996</v>
      </c>
      <c r="F13" s="31">
        <f t="shared" si="0"/>
        <v>6.9356777739127233E-3</v>
      </c>
      <c r="G13" s="41">
        <v>77</v>
      </c>
      <c r="H13" s="42">
        <v>27364</v>
      </c>
      <c r="I13" s="42">
        <v>1856</v>
      </c>
      <c r="J13" s="160">
        <v>5722.1259999999993</v>
      </c>
      <c r="K13" s="44">
        <f t="shared" si="1"/>
        <v>6.6531309554682446E-3</v>
      </c>
      <c r="L13" s="76">
        <v>87</v>
      </c>
      <c r="M13" s="122">
        <v>43228</v>
      </c>
      <c r="N13" s="122">
        <v>2268</v>
      </c>
      <c r="O13" s="167">
        <v>7589.4330000000009</v>
      </c>
      <c r="P13" s="124">
        <f t="shared" si="2"/>
        <v>9.2190923849692664E-3</v>
      </c>
      <c r="Q13" s="76">
        <v>107</v>
      </c>
      <c r="R13" s="122">
        <v>126037</v>
      </c>
      <c r="S13" s="122">
        <v>14089</v>
      </c>
      <c r="T13" s="167">
        <v>13240.711000000001</v>
      </c>
      <c r="U13" s="124">
        <f t="shared" si="3"/>
        <v>1.6467910755905358E-2</v>
      </c>
      <c r="V13" s="76">
        <v>108</v>
      </c>
      <c r="W13" s="122">
        <v>198735</v>
      </c>
      <c r="X13" s="122">
        <v>20048</v>
      </c>
      <c r="Y13" s="167">
        <v>14569.535</v>
      </c>
      <c r="Z13" s="124">
        <f t="shared" si="4"/>
        <v>1.954449057936555E-2</v>
      </c>
    </row>
    <row r="14" spans="1:26" x14ac:dyDescent="0.2">
      <c r="A14" s="114" t="str">
        <f>Translation!$A378</f>
        <v>5% – 9%</v>
      </c>
      <c r="B14" s="30">
        <v>73</v>
      </c>
      <c r="C14" s="6">
        <v>325544</v>
      </c>
      <c r="D14" s="6">
        <v>33575</v>
      </c>
      <c r="E14" s="150">
        <v>44938.332999999999</v>
      </c>
      <c r="F14" s="31">
        <f t="shared" si="0"/>
        <v>4.9749740720228468E-2</v>
      </c>
      <c r="G14" s="41">
        <v>82</v>
      </c>
      <c r="H14" s="42">
        <v>327982</v>
      </c>
      <c r="I14" s="42">
        <v>36805</v>
      </c>
      <c r="J14" s="160">
        <v>48523.960999999996</v>
      </c>
      <c r="K14" s="44">
        <f t="shared" si="1"/>
        <v>5.6418937124249599E-2</v>
      </c>
      <c r="L14" s="76">
        <v>96</v>
      </c>
      <c r="M14" s="122">
        <v>327268</v>
      </c>
      <c r="N14" s="122">
        <v>39607</v>
      </c>
      <c r="O14" s="167">
        <v>46633.289000000004</v>
      </c>
      <c r="P14" s="124">
        <f t="shared" si="2"/>
        <v>5.6646734941328429E-2</v>
      </c>
      <c r="Q14" s="76">
        <v>111</v>
      </c>
      <c r="R14" s="122">
        <v>358813</v>
      </c>
      <c r="S14" s="122">
        <v>49462</v>
      </c>
      <c r="T14" s="167">
        <v>54308.580999999998</v>
      </c>
      <c r="U14" s="124">
        <f t="shared" si="3"/>
        <v>6.7545380696539425E-2</v>
      </c>
      <c r="V14" s="76">
        <v>120</v>
      </c>
      <c r="W14" s="122">
        <v>311431</v>
      </c>
      <c r="X14" s="122">
        <v>37539</v>
      </c>
      <c r="Y14" s="167">
        <v>37805.968999999997</v>
      </c>
      <c r="Z14" s="124">
        <f t="shared" si="4"/>
        <v>5.0715304569726213E-2</v>
      </c>
    </row>
    <row r="15" spans="1:26" x14ac:dyDescent="0.2">
      <c r="A15" s="114" t="str">
        <f>Translation!$A379</f>
        <v>10% – 14%</v>
      </c>
      <c r="B15" s="30">
        <v>379</v>
      </c>
      <c r="C15" s="6">
        <v>655328</v>
      </c>
      <c r="D15" s="6">
        <v>171117</v>
      </c>
      <c r="E15" s="150">
        <v>150874.36800000002</v>
      </c>
      <c r="F15" s="31">
        <f t="shared" si="0"/>
        <v>0.16702801791353356</v>
      </c>
      <c r="G15" s="41">
        <v>422</v>
      </c>
      <c r="H15" s="42">
        <v>724278</v>
      </c>
      <c r="I15" s="42">
        <v>169505</v>
      </c>
      <c r="J15" s="160">
        <v>143205.742</v>
      </c>
      <c r="K15" s="44">
        <f t="shared" si="1"/>
        <v>0.16650569300658516</v>
      </c>
      <c r="L15" s="76">
        <v>450</v>
      </c>
      <c r="M15" s="122">
        <v>697396</v>
      </c>
      <c r="N15" s="122">
        <v>170865</v>
      </c>
      <c r="O15" s="167">
        <v>143665.144</v>
      </c>
      <c r="P15" s="124">
        <f t="shared" si="2"/>
        <v>0.17451399004852047</v>
      </c>
      <c r="Q15" s="76">
        <v>483</v>
      </c>
      <c r="R15" s="122">
        <v>575808</v>
      </c>
      <c r="S15" s="122">
        <v>145780</v>
      </c>
      <c r="T15" s="167">
        <v>116972.431</v>
      </c>
      <c r="U15" s="124">
        <f t="shared" si="3"/>
        <v>0.14548248614513956</v>
      </c>
      <c r="V15" s="76">
        <v>511</v>
      </c>
      <c r="W15" s="122">
        <v>835398</v>
      </c>
      <c r="X15" s="122">
        <v>196433</v>
      </c>
      <c r="Y15" s="167">
        <v>154221.992</v>
      </c>
      <c r="Z15" s="124">
        <f t="shared" si="4"/>
        <v>0.20688307964358432</v>
      </c>
    </row>
    <row r="16" spans="1:26" x14ac:dyDescent="0.2">
      <c r="A16" s="114" t="str">
        <f>Translation!$A380</f>
        <v>15% – 19%</v>
      </c>
      <c r="B16" s="30">
        <v>618</v>
      </c>
      <c r="C16" s="6">
        <v>1282986</v>
      </c>
      <c r="D16" s="6">
        <v>458574</v>
      </c>
      <c r="E16" s="150">
        <v>384403.16399999999</v>
      </c>
      <c r="F16" s="31">
        <f t="shared" si="0"/>
        <v>0.42556001667964544</v>
      </c>
      <c r="G16" s="41">
        <v>608</v>
      </c>
      <c r="H16" s="42">
        <v>1308094</v>
      </c>
      <c r="I16" s="42">
        <v>461435</v>
      </c>
      <c r="J16" s="160">
        <v>374315.576</v>
      </c>
      <c r="K16" s="44">
        <f t="shared" si="1"/>
        <v>0.43521770506268592</v>
      </c>
      <c r="L16" s="76">
        <v>608</v>
      </c>
      <c r="M16" s="122">
        <v>1307653</v>
      </c>
      <c r="N16" s="122">
        <v>452892</v>
      </c>
      <c r="O16" s="167">
        <v>352935.39500000002</v>
      </c>
      <c r="P16" s="124">
        <f t="shared" si="2"/>
        <v>0.42872030261425587</v>
      </c>
      <c r="Q16" s="76">
        <v>625</v>
      </c>
      <c r="R16" s="122">
        <v>1405592</v>
      </c>
      <c r="S16" s="122">
        <v>484972</v>
      </c>
      <c r="T16" s="167">
        <v>365125.533</v>
      </c>
      <c r="U16" s="124">
        <f t="shared" si="3"/>
        <v>0.45411871704973966</v>
      </c>
      <c r="V16" s="76">
        <v>628</v>
      </c>
      <c r="W16" s="122">
        <v>1054703</v>
      </c>
      <c r="X16" s="122">
        <v>416344</v>
      </c>
      <c r="Y16" s="167">
        <v>336041.93200000003</v>
      </c>
      <c r="Z16" s="124">
        <f t="shared" si="4"/>
        <v>0.45078778246840406</v>
      </c>
    </row>
    <row r="17" spans="1:26" ht="12.75" customHeight="1" x14ac:dyDescent="0.2">
      <c r="A17" s="110" t="str">
        <f>Translation!$A381</f>
        <v>20% – 24%</v>
      </c>
      <c r="B17" s="30">
        <v>273</v>
      </c>
      <c r="C17" s="6">
        <v>554870</v>
      </c>
      <c r="D17" s="6">
        <v>154806</v>
      </c>
      <c r="E17" s="150">
        <v>122947.01300000001</v>
      </c>
      <c r="F17" s="31">
        <f t="shared" si="0"/>
        <v>0.13611056776575489</v>
      </c>
      <c r="G17" s="41">
        <v>259</v>
      </c>
      <c r="H17" s="42">
        <v>339584</v>
      </c>
      <c r="I17" s="42">
        <v>128351</v>
      </c>
      <c r="J17" s="160">
        <v>102497.447</v>
      </c>
      <c r="K17" s="44">
        <f t="shared" si="1"/>
        <v>0.11917405130403733</v>
      </c>
      <c r="L17" s="76">
        <v>266</v>
      </c>
      <c r="M17" s="122">
        <v>290991</v>
      </c>
      <c r="N17" s="122">
        <v>84884</v>
      </c>
      <c r="O17" s="167">
        <v>74836.731</v>
      </c>
      <c r="P17" s="124">
        <f t="shared" si="2"/>
        <v>9.0906229342573197E-2</v>
      </c>
      <c r="Q17" s="76">
        <v>264</v>
      </c>
      <c r="R17" s="122">
        <v>295924</v>
      </c>
      <c r="S17" s="122">
        <v>83128</v>
      </c>
      <c r="T17" s="167">
        <v>72410.305000000008</v>
      </c>
      <c r="U17" s="124">
        <f t="shared" si="3"/>
        <v>9.005909429998793E-2</v>
      </c>
      <c r="V17" s="76">
        <v>256</v>
      </c>
      <c r="W17" s="122">
        <v>300565</v>
      </c>
      <c r="X17" s="122">
        <v>85719</v>
      </c>
      <c r="Y17" s="167">
        <v>74906.078999999998</v>
      </c>
      <c r="Z17" s="124">
        <f t="shared" si="4"/>
        <v>0.10048372548284565</v>
      </c>
    </row>
    <row r="18" spans="1:26" ht="12.75" customHeight="1" x14ac:dyDescent="0.2">
      <c r="A18" s="110" t="str">
        <f>Translation!$A382</f>
        <v>25% oder höher</v>
      </c>
      <c r="B18" s="30">
        <v>115</v>
      </c>
      <c r="C18" s="6">
        <v>258869</v>
      </c>
      <c r="D18" s="6">
        <v>96135</v>
      </c>
      <c r="E18" s="150">
        <v>94178.195999999996</v>
      </c>
      <c r="F18" s="31">
        <f t="shared" si="0"/>
        <v>0.10426156289550967</v>
      </c>
      <c r="G18" s="41">
        <v>108</v>
      </c>
      <c r="H18" s="42">
        <v>269098</v>
      </c>
      <c r="I18" s="42">
        <v>89717</v>
      </c>
      <c r="J18" s="160">
        <v>87973.057000000001</v>
      </c>
      <c r="K18" s="44">
        <f t="shared" si="1"/>
        <v>0.1022865048364668</v>
      </c>
      <c r="L18" s="76">
        <v>100</v>
      </c>
      <c r="M18" s="122">
        <v>284944</v>
      </c>
      <c r="N18" s="122">
        <v>115815</v>
      </c>
      <c r="O18" s="167">
        <v>98903.071999999986</v>
      </c>
      <c r="P18" s="124">
        <f t="shared" si="2"/>
        <v>0.12014027371020561</v>
      </c>
      <c r="Q18" s="76">
        <v>106</v>
      </c>
      <c r="R18" s="122">
        <v>227158</v>
      </c>
      <c r="S18" s="122">
        <v>86254</v>
      </c>
      <c r="T18" s="167">
        <v>79698.53899999999</v>
      </c>
      <c r="U18" s="124">
        <f t="shared" si="3"/>
        <v>9.9123712286148552E-2</v>
      </c>
      <c r="V18" s="76">
        <v>117</v>
      </c>
      <c r="W18" s="122">
        <v>190266</v>
      </c>
      <c r="X18" s="122">
        <v>97028</v>
      </c>
      <c r="Y18" s="167">
        <v>83035.055999999997</v>
      </c>
      <c r="Z18" s="124">
        <f t="shared" si="4"/>
        <v>0.11138844649119486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823229.95400000014</v>
      </c>
      <c r="P36" s="127">
        <f>SUM(P$12:P$35)</f>
        <v>0.99999999999999978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121</v>
      </c>
      <c r="C52" s="8">
        <v>1074744</v>
      </c>
      <c r="D52" s="8">
        <v>896</v>
      </c>
      <c r="E52" s="152">
        <v>99681.796000000002</v>
      </c>
      <c r="F52" s="34">
        <f t="shared" ref="F52:F58" si="10">E52/E$76</f>
        <v>0.12957843494705071</v>
      </c>
      <c r="G52" s="47">
        <v>126</v>
      </c>
      <c r="H52" s="48">
        <v>1053694</v>
      </c>
      <c r="I52" s="48">
        <v>1156</v>
      </c>
      <c r="J52" s="162">
        <v>97827.23</v>
      </c>
      <c r="K52" s="50">
        <f t="shared" ref="K52:K58" si="11">J52/J$76</f>
        <v>0.13350008739228941</v>
      </c>
      <c r="L52" s="128">
        <v>136</v>
      </c>
      <c r="M52" s="129">
        <v>1086675</v>
      </c>
      <c r="N52" s="129">
        <v>12270</v>
      </c>
      <c r="O52" s="169">
        <v>98666.89</v>
      </c>
      <c r="P52" s="131">
        <f t="shared" ref="P52:P58" si="12">O52/O$76</f>
        <v>0.14015542685544299</v>
      </c>
      <c r="Q52" s="128">
        <v>149</v>
      </c>
      <c r="R52" s="129">
        <v>1014705</v>
      </c>
      <c r="S52" s="129">
        <v>5133</v>
      </c>
      <c r="T52" s="169">
        <v>102274.91499999999</v>
      </c>
      <c r="U52" s="131">
        <f t="shared" ref="U52:U58" si="13">T52/T$76</f>
        <v>0.15068573691933379</v>
      </c>
      <c r="V52" s="128">
        <v>165</v>
      </c>
      <c r="W52" s="129">
        <v>1041650</v>
      </c>
      <c r="X52" s="129">
        <v>90221</v>
      </c>
      <c r="Y52" s="169">
        <v>44874.271999999997</v>
      </c>
      <c r="Z52" s="131">
        <f t="shared" ref="Z52:Z58" si="14">Y52/Y$76</f>
        <v>7.2770036448236347E-2</v>
      </c>
    </row>
    <row r="53" spans="1:26" x14ac:dyDescent="0.2">
      <c r="A53" s="114" t="str">
        <f>$A$13</f>
        <v>unter 5%</v>
      </c>
      <c r="B53" s="33">
        <v>72</v>
      </c>
      <c r="C53" s="8">
        <v>22675</v>
      </c>
      <c r="D53" s="8">
        <v>1997</v>
      </c>
      <c r="E53" s="152">
        <v>6052.3019999999997</v>
      </c>
      <c r="F53" s="34">
        <f t="shared" si="10"/>
        <v>7.8675129507789453E-3</v>
      </c>
      <c r="G53" s="47">
        <v>73</v>
      </c>
      <c r="H53" s="48">
        <v>26433</v>
      </c>
      <c r="I53" s="48">
        <v>1444</v>
      </c>
      <c r="J53" s="162">
        <v>5507.6759999999995</v>
      </c>
      <c r="K53" s="50">
        <f t="shared" si="11"/>
        <v>7.5160589472728087E-3</v>
      </c>
      <c r="L53" s="128">
        <v>83</v>
      </c>
      <c r="M53" s="129">
        <v>42391</v>
      </c>
      <c r="N53" s="129">
        <v>1892</v>
      </c>
      <c r="O53" s="169">
        <v>7377.0120000000006</v>
      </c>
      <c r="P53" s="131">
        <f t="shared" si="12"/>
        <v>1.0478978974382646E-2</v>
      </c>
      <c r="Q53" s="128">
        <v>100</v>
      </c>
      <c r="R53" s="129">
        <v>124447</v>
      </c>
      <c r="S53" s="129">
        <v>13163</v>
      </c>
      <c r="T53" s="169">
        <v>12669.468000000001</v>
      </c>
      <c r="U53" s="131">
        <f t="shared" si="13"/>
        <v>1.8666435674436085E-2</v>
      </c>
      <c r="V53" s="128">
        <v>99</v>
      </c>
      <c r="W53" s="129">
        <v>196814</v>
      </c>
      <c r="X53" s="129">
        <v>19063</v>
      </c>
      <c r="Y53" s="169">
        <v>13828.534</v>
      </c>
      <c r="Z53" s="131">
        <f t="shared" si="14"/>
        <v>2.2424941472157487E-2</v>
      </c>
    </row>
    <row r="54" spans="1:26" x14ac:dyDescent="0.2">
      <c r="A54" s="114" t="str">
        <f>$A$14</f>
        <v>5% – 9%</v>
      </c>
      <c r="B54" s="33">
        <v>71</v>
      </c>
      <c r="C54" s="8">
        <v>298778</v>
      </c>
      <c r="D54" s="8">
        <v>22852</v>
      </c>
      <c r="E54" s="152">
        <v>35037.366000000002</v>
      </c>
      <c r="F54" s="34">
        <f t="shared" si="10"/>
        <v>4.5545799063923434E-2</v>
      </c>
      <c r="G54" s="47">
        <v>79</v>
      </c>
      <c r="H54" s="48">
        <v>281220</v>
      </c>
      <c r="I54" s="48">
        <v>21685</v>
      </c>
      <c r="J54" s="162">
        <v>33958.366999999998</v>
      </c>
      <c r="K54" s="50">
        <f t="shared" si="11"/>
        <v>4.6341340362999507E-2</v>
      </c>
      <c r="L54" s="128">
        <v>93</v>
      </c>
      <c r="M54" s="129">
        <v>281728</v>
      </c>
      <c r="N54" s="129">
        <v>24273</v>
      </c>
      <c r="O54" s="169">
        <v>32872.44</v>
      </c>
      <c r="P54" s="131">
        <f t="shared" si="12"/>
        <v>4.6695004372590831E-2</v>
      </c>
      <c r="Q54" s="128">
        <v>106</v>
      </c>
      <c r="R54" s="129">
        <v>291291</v>
      </c>
      <c r="S54" s="129">
        <v>20991</v>
      </c>
      <c r="T54" s="169">
        <v>30618.12</v>
      </c>
      <c r="U54" s="131">
        <f t="shared" si="13"/>
        <v>4.511090500817911E-2</v>
      </c>
      <c r="V54" s="128">
        <v>118</v>
      </c>
      <c r="W54" s="129">
        <v>292963</v>
      </c>
      <c r="X54" s="129">
        <v>32410</v>
      </c>
      <c r="Y54" s="169">
        <v>33468.063999999998</v>
      </c>
      <c r="Z54" s="131">
        <f t="shared" si="14"/>
        <v>5.4273242296430046E-2</v>
      </c>
    </row>
    <row r="55" spans="1:26" x14ac:dyDescent="0.2">
      <c r="A55" s="114" t="str">
        <f>$A$15</f>
        <v>10% – 14%</v>
      </c>
      <c r="B55" s="33">
        <v>365</v>
      </c>
      <c r="C55" s="8">
        <v>552661</v>
      </c>
      <c r="D55" s="8">
        <v>123330</v>
      </c>
      <c r="E55" s="152">
        <v>108864.905</v>
      </c>
      <c r="F55" s="34">
        <f t="shared" si="10"/>
        <v>0.14151574887915699</v>
      </c>
      <c r="G55" s="47">
        <v>409</v>
      </c>
      <c r="H55" s="48">
        <v>639762</v>
      </c>
      <c r="I55" s="48">
        <v>127520</v>
      </c>
      <c r="J55" s="162">
        <v>108339.921</v>
      </c>
      <c r="K55" s="50">
        <f t="shared" si="11"/>
        <v>0.14784624814148098</v>
      </c>
      <c r="L55" s="128">
        <v>436</v>
      </c>
      <c r="M55" s="129">
        <v>614224</v>
      </c>
      <c r="N55" s="129">
        <v>130097</v>
      </c>
      <c r="O55" s="169">
        <v>109886.14599999999</v>
      </c>
      <c r="P55" s="131">
        <f t="shared" si="12"/>
        <v>0.15609227875865478</v>
      </c>
      <c r="Q55" s="128">
        <v>472</v>
      </c>
      <c r="R55" s="129">
        <v>541138</v>
      </c>
      <c r="S55" s="129">
        <v>128543</v>
      </c>
      <c r="T55" s="169">
        <v>103381.569</v>
      </c>
      <c r="U55" s="131">
        <f t="shared" si="13"/>
        <v>0.15231621467142706</v>
      </c>
      <c r="V55" s="128">
        <v>494</v>
      </c>
      <c r="W55" s="129">
        <v>746887</v>
      </c>
      <c r="X55" s="129">
        <v>152692</v>
      </c>
      <c r="Y55" s="169">
        <v>120391.56600000001</v>
      </c>
      <c r="Z55" s="131">
        <f t="shared" si="14"/>
        <v>0.19523210640342539</v>
      </c>
    </row>
    <row r="56" spans="1:26" x14ac:dyDescent="0.2">
      <c r="A56" s="114" t="str">
        <f>$A$16</f>
        <v>15% – 19%</v>
      </c>
      <c r="B56" s="33">
        <v>601</v>
      </c>
      <c r="C56" s="8">
        <v>1112088</v>
      </c>
      <c r="D56" s="8">
        <v>373988</v>
      </c>
      <c r="E56" s="152">
        <v>310777.45299999998</v>
      </c>
      <c r="F56" s="34">
        <f t="shared" si="10"/>
        <v>0.40398605956668965</v>
      </c>
      <c r="G56" s="47">
        <v>591</v>
      </c>
      <c r="H56" s="48">
        <v>1142698</v>
      </c>
      <c r="I56" s="48">
        <v>381221</v>
      </c>
      <c r="J56" s="162">
        <v>304810.01</v>
      </c>
      <c r="K56" s="50">
        <f t="shared" si="11"/>
        <v>0.41595947235799902</v>
      </c>
      <c r="L56" s="128">
        <v>593</v>
      </c>
      <c r="M56" s="129">
        <v>1152899</v>
      </c>
      <c r="N56" s="129">
        <v>377651</v>
      </c>
      <c r="O56" s="169">
        <v>289381.41899999999</v>
      </c>
      <c r="P56" s="131">
        <f t="shared" si="12"/>
        <v>0.41106369425426098</v>
      </c>
      <c r="Q56" s="128">
        <v>608</v>
      </c>
      <c r="R56" s="129">
        <v>1217674</v>
      </c>
      <c r="S56" s="129">
        <v>397195</v>
      </c>
      <c r="T56" s="169">
        <v>292542.88799999998</v>
      </c>
      <c r="U56" s="131">
        <f t="shared" si="13"/>
        <v>0.43101517765905872</v>
      </c>
      <c r="V56" s="128">
        <v>604</v>
      </c>
      <c r="W56" s="129">
        <v>862335</v>
      </c>
      <c r="X56" s="129">
        <v>334662</v>
      </c>
      <c r="Y56" s="169">
        <v>268648.12</v>
      </c>
      <c r="Z56" s="131">
        <f t="shared" si="14"/>
        <v>0.43565126770524926</v>
      </c>
    </row>
    <row r="57" spans="1:26" ht="12.75" customHeight="1" x14ac:dyDescent="0.2">
      <c r="A57" s="114" t="str">
        <f>$A$17</f>
        <v>20% – 24%</v>
      </c>
      <c r="B57" s="33">
        <v>271</v>
      </c>
      <c r="C57" s="8">
        <v>530374</v>
      </c>
      <c r="D57" s="8">
        <v>142109</v>
      </c>
      <c r="E57" s="152">
        <v>114685.648</v>
      </c>
      <c r="F57" s="34">
        <f t="shared" si="10"/>
        <v>0.14908225348115073</v>
      </c>
      <c r="G57" s="47">
        <v>257</v>
      </c>
      <c r="H57" s="48">
        <v>315149</v>
      </c>
      <c r="I57" s="48">
        <v>115984</v>
      </c>
      <c r="J57" s="162">
        <v>94371.498999999996</v>
      </c>
      <c r="K57" s="50">
        <f t="shared" si="11"/>
        <v>0.1287842185027763</v>
      </c>
      <c r="L57" s="128">
        <v>264</v>
      </c>
      <c r="M57" s="129">
        <v>266951</v>
      </c>
      <c r="N57" s="129">
        <v>72769</v>
      </c>
      <c r="O57" s="169">
        <v>66894.966</v>
      </c>
      <c r="P57" s="131">
        <f t="shared" si="12"/>
        <v>9.5023695529577817E-2</v>
      </c>
      <c r="Q57" s="128">
        <v>261</v>
      </c>
      <c r="R57" s="129">
        <v>248244</v>
      </c>
      <c r="S57" s="129">
        <v>63627</v>
      </c>
      <c r="T57" s="169">
        <v>57544.4</v>
      </c>
      <c r="U57" s="131">
        <f t="shared" si="13"/>
        <v>8.4782473977914455E-2</v>
      </c>
      <c r="V57" s="128">
        <v>250</v>
      </c>
      <c r="W57" s="129">
        <v>243717</v>
      </c>
      <c r="X57" s="129">
        <v>57551</v>
      </c>
      <c r="Y57" s="169">
        <v>52413.031999999999</v>
      </c>
      <c r="Z57" s="131">
        <f t="shared" si="14"/>
        <v>8.4995211710678628E-2</v>
      </c>
    </row>
    <row r="58" spans="1:26" ht="12.75" customHeight="1" x14ac:dyDescent="0.2">
      <c r="A58" s="114" t="str">
        <f>$A$18</f>
        <v>25% oder höher</v>
      </c>
      <c r="B58" s="33">
        <v>115</v>
      </c>
      <c r="C58" s="8">
        <v>258869</v>
      </c>
      <c r="D58" s="8">
        <v>96135</v>
      </c>
      <c r="E58" s="152">
        <v>94178.195999999996</v>
      </c>
      <c r="F58" s="34">
        <f t="shared" si="10"/>
        <v>0.12242419111124955</v>
      </c>
      <c r="G58" s="47">
        <v>108</v>
      </c>
      <c r="H58" s="48">
        <v>269098</v>
      </c>
      <c r="I58" s="48">
        <v>89717</v>
      </c>
      <c r="J58" s="162">
        <v>87973.057000000001</v>
      </c>
      <c r="K58" s="50">
        <f t="shared" si="11"/>
        <v>0.120052574295182</v>
      </c>
      <c r="L58" s="128">
        <v>100</v>
      </c>
      <c r="M58" s="129">
        <v>284944</v>
      </c>
      <c r="N58" s="129">
        <v>115815</v>
      </c>
      <c r="O58" s="169">
        <v>98903.071999999986</v>
      </c>
      <c r="P58" s="131">
        <f t="shared" si="12"/>
        <v>0.14049092125508983</v>
      </c>
      <c r="Q58" s="128">
        <v>106</v>
      </c>
      <c r="R58" s="129">
        <v>227158</v>
      </c>
      <c r="S58" s="129">
        <v>86254</v>
      </c>
      <c r="T58" s="169">
        <v>79698.53899999999</v>
      </c>
      <c r="U58" s="131">
        <f t="shared" si="13"/>
        <v>0.11742305608965076</v>
      </c>
      <c r="V58" s="128">
        <v>117</v>
      </c>
      <c r="W58" s="129">
        <v>190266</v>
      </c>
      <c r="X58" s="129">
        <v>97028</v>
      </c>
      <c r="Y58" s="169">
        <v>83035.055999999997</v>
      </c>
      <c r="Z58" s="131">
        <f t="shared" si="14"/>
        <v>0.13465319396382289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 t="shared" ref="Z92:Z98" si="23">Y92/Y$116</f>
        <v>0</v>
      </c>
    </row>
    <row r="93" spans="1:26" x14ac:dyDescent="0.2">
      <c r="A93" s="114" t="str">
        <f>$A$13</f>
        <v>unter 5%</v>
      </c>
      <c r="B93" s="36">
        <v>3</v>
      </c>
      <c r="C93" s="10">
        <v>896</v>
      </c>
      <c r="D93" s="10">
        <v>391</v>
      </c>
      <c r="E93" s="154">
        <v>212.61099999999999</v>
      </c>
      <c r="F93" s="37">
        <f t="shared" si="19"/>
        <v>1.5865294707563011E-3</v>
      </c>
      <c r="G93" s="53">
        <v>4</v>
      </c>
      <c r="H93" s="54">
        <v>931</v>
      </c>
      <c r="I93" s="54">
        <v>412</v>
      </c>
      <c r="J93" s="164">
        <v>214.45</v>
      </c>
      <c r="K93" s="56">
        <f t="shared" si="20"/>
        <v>1.6849027037239663E-3</v>
      </c>
      <c r="L93" s="136">
        <v>4</v>
      </c>
      <c r="M93" s="137">
        <v>837</v>
      </c>
      <c r="N93" s="137">
        <v>376</v>
      </c>
      <c r="O93" s="171">
        <v>212.42099999999999</v>
      </c>
      <c r="P93" s="139">
        <f t="shared" si="21"/>
        <v>1.7813379173483724E-3</v>
      </c>
      <c r="Q93" s="136">
        <v>7</v>
      </c>
      <c r="R93" s="137">
        <v>1590</v>
      </c>
      <c r="S93" s="137">
        <v>926</v>
      </c>
      <c r="T93" s="171">
        <v>571.24300000000005</v>
      </c>
      <c r="U93" s="139">
        <f t="shared" si="22"/>
        <v>4.5589617892948372E-3</v>
      </c>
      <c r="V93" s="136">
        <v>9</v>
      </c>
      <c r="W93" s="137">
        <v>1921</v>
      </c>
      <c r="X93" s="137">
        <v>985</v>
      </c>
      <c r="Y93" s="171">
        <v>741.00099999999998</v>
      </c>
      <c r="Z93" s="139">
        <f t="shared" si="23"/>
        <v>5.753283495782884E-3</v>
      </c>
    </row>
    <row r="94" spans="1:26" x14ac:dyDescent="0.2">
      <c r="A94" s="114" t="str">
        <f>$A$14</f>
        <v>5% – 9%</v>
      </c>
      <c r="B94" s="36">
        <v>2</v>
      </c>
      <c r="C94" s="10">
        <v>26766</v>
      </c>
      <c r="D94" s="10">
        <v>10723</v>
      </c>
      <c r="E94" s="154">
        <v>9900.9670000000006</v>
      </c>
      <c r="F94" s="37">
        <f t="shared" si="19"/>
        <v>7.388223532406886E-2</v>
      </c>
      <c r="G94" s="53">
        <v>3</v>
      </c>
      <c r="H94" s="54">
        <v>46762</v>
      </c>
      <c r="I94" s="54">
        <v>15120</v>
      </c>
      <c r="J94" s="164">
        <v>14565.593999999999</v>
      </c>
      <c r="K94" s="56">
        <f t="shared" si="20"/>
        <v>0.11443977016528599</v>
      </c>
      <c r="L94" s="136">
        <v>3</v>
      </c>
      <c r="M94" s="137">
        <v>45540</v>
      </c>
      <c r="N94" s="137">
        <v>15334</v>
      </c>
      <c r="O94" s="171">
        <v>13760.849</v>
      </c>
      <c r="P94" s="139">
        <f t="shared" si="21"/>
        <v>0.11539688683607287</v>
      </c>
      <c r="Q94" s="136">
        <v>5</v>
      </c>
      <c r="R94" s="137">
        <v>67522</v>
      </c>
      <c r="S94" s="137">
        <v>28471</v>
      </c>
      <c r="T94" s="171">
        <v>23690.460999999999</v>
      </c>
      <c r="U94" s="139">
        <f t="shared" si="22"/>
        <v>0.1890682362318305</v>
      </c>
      <c r="V94" s="136">
        <v>2</v>
      </c>
      <c r="W94" s="137">
        <v>18468</v>
      </c>
      <c r="X94" s="137">
        <v>5129</v>
      </c>
      <c r="Y94" s="171">
        <v>4337.9049999999997</v>
      </c>
      <c r="Z94" s="139">
        <f t="shared" si="23"/>
        <v>3.3680382675292005E-2</v>
      </c>
    </row>
    <row r="95" spans="1:26" x14ac:dyDescent="0.2">
      <c r="A95" s="114" t="str">
        <f>$A$15</f>
        <v>10% – 14%</v>
      </c>
      <c r="B95" s="36">
        <v>14</v>
      </c>
      <c r="C95" s="10">
        <v>102667</v>
      </c>
      <c r="D95" s="10">
        <v>47787</v>
      </c>
      <c r="E95" s="154">
        <v>42009.463000000003</v>
      </c>
      <c r="F95" s="37">
        <f t="shared" si="19"/>
        <v>0.31347978749992439</v>
      </c>
      <c r="G95" s="53">
        <v>13</v>
      </c>
      <c r="H95" s="54">
        <v>84516</v>
      </c>
      <c r="I95" s="54">
        <v>41985</v>
      </c>
      <c r="J95" s="164">
        <v>34865.821000000004</v>
      </c>
      <c r="K95" s="56">
        <f t="shared" si="20"/>
        <v>0.27393572427351759</v>
      </c>
      <c r="L95" s="136">
        <v>14</v>
      </c>
      <c r="M95" s="137">
        <v>83172</v>
      </c>
      <c r="N95" s="137">
        <v>40768</v>
      </c>
      <c r="O95" s="171">
        <v>33778.998</v>
      </c>
      <c r="P95" s="139">
        <f t="shared" si="21"/>
        <v>0.2832667671625444</v>
      </c>
      <c r="Q95" s="136">
        <v>11</v>
      </c>
      <c r="R95" s="137">
        <v>34670</v>
      </c>
      <c r="S95" s="137">
        <v>17237</v>
      </c>
      <c r="T95" s="171">
        <v>13590.861999999999</v>
      </c>
      <c r="U95" s="139">
        <f t="shared" si="22"/>
        <v>0.10846561015466134</v>
      </c>
      <c r="V95" s="136">
        <v>17</v>
      </c>
      <c r="W95" s="137">
        <v>88511</v>
      </c>
      <c r="X95" s="137">
        <v>43741</v>
      </c>
      <c r="Y95" s="171">
        <v>33830.425999999999</v>
      </c>
      <c r="Z95" s="139">
        <f t="shared" si="23"/>
        <v>0.26266635478373734</v>
      </c>
    </row>
    <row r="96" spans="1:26" x14ac:dyDescent="0.2">
      <c r="A96" s="114" t="str">
        <f>$A$16</f>
        <v>15% – 19%</v>
      </c>
      <c r="B96" s="36">
        <v>17</v>
      </c>
      <c r="C96" s="10">
        <v>170898</v>
      </c>
      <c r="D96" s="10">
        <v>84586</v>
      </c>
      <c r="E96" s="154">
        <v>73625.710999999996</v>
      </c>
      <c r="F96" s="37">
        <f t="shared" si="19"/>
        <v>0.54940412446621467</v>
      </c>
      <c r="G96" s="53">
        <v>17</v>
      </c>
      <c r="H96" s="54">
        <v>165396</v>
      </c>
      <c r="I96" s="54">
        <v>80214</v>
      </c>
      <c r="J96" s="164">
        <v>69505.566000000006</v>
      </c>
      <c r="K96" s="56">
        <f t="shared" si="20"/>
        <v>0.54609520203900486</v>
      </c>
      <c r="L96" s="136">
        <v>15</v>
      </c>
      <c r="M96" s="137">
        <v>154754</v>
      </c>
      <c r="N96" s="137">
        <v>75241</v>
      </c>
      <c r="O96" s="171">
        <v>63553.976000000002</v>
      </c>
      <c r="P96" s="139">
        <f t="shared" si="21"/>
        <v>0.5329562860877618</v>
      </c>
      <c r="Q96" s="136">
        <v>17</v>
      </c>
      <c r="R96" s="137">
        <v>187918</v>
      </c>
      <c r="S96" s="137">
        <v>87777</v>
      </c>
      <c r="T96" s="171">
        <v>72582.645000000004</v>
      </c>
      <c r="U96" s="139">
        <f t="shared" si="22"/>
        <v>0.57926575051414542</v>
      </c>
      <c r="V96" s="136">
        <v>24</v>
      </c>
      <c r="W96" s="137">
        <v>192368</v>
      </c>
      <c r="X96" s="137">
        <v>81682</v>
      </c>
      <c r="Y96" s="171">
        <v>67393.812000000005</v>
      </c>
      <c r="Z96" s="139">
        <f t="shared" si="23"/>
        <v>0.52325935632677223</v>
      </c>
    </row>
    <row r="97" spans="1:26" ht="12.75" customHeight="1" x14ac:dyDescent="0.2">
      <c r="A97" s="114" t="str">
        <f>$A$17</f>
        <v>20% – 24%</v>
      </c>
      <c r="B97" s="36">
        <v>2</v>
      </c>
      <c r="C97" s="10">
        <v>24496</v>
      </c>
      <c r="D97" s="10">
        <v>12697</v>
      </c>
      <c r="E97" s="154">
        <v>8261.3649999999998</v>
      </c>
      <c r="F97" s="37">
        <f t="shared" si="19"/>
        <v>6.1647323239035753E-2</v>
      </c>
      <c r="G97" s="53">
        <v>2</v>
      </c>
      <c r="H97" s="54">
        <v>24435</v>
      </c>
      <c r="I97" s="54">
        <v>12367</v>
      </c>
      <c r="J97" s="164">
        <v>8125.9480000000003</v>
      </c>
      <c r="K97" s="56">
        <f t="shared" si="20"/>
        <v>6.3844400818467512E-2</v>
      </c>
      <c r="L97" s="136">
        <v>2</v>
      </c>
      <c r="M97" s="137">
        <v>24040</v>
      </c>
      <c r="N97" s="137">
        <v>12115</v>
      </c>
      <c r="O97" s="171">
        <v>7941.7650000000003</v>
      </c>
      <c r="P97" s="139">
        <f t="shared" si="21"/>
        <v>6.6598721996272495E-2</v>
      </c>
      <c r="Q97" s="136">
        <v>3</v>
      </c>
      <c r="R97" s="137">
        <v>47680</v>
      </c>
      <c r="S97" s="137">
        <v>19501</v>
      </c>
      <c r="T97" s="171">
        <v>14865.905000000001</v>
      </c>
      <c r="U97" s="139">
        <f t="shared" si="22"/>
        <v>0.11864144131006782</v>
      </c>
      <c r="V97" s="136">
        <v>6</v>
      </c>
      <c r="W97" s="137">
        <v>56848</v>
      </c>
      <c r="X97" s="137">
        <v>28168</v>
      </c>
      <c r="Y97" s="171">
        <v>22493.046999999999</v>
      </c>
      <c r="Z97" s="139">
        <f t="shared" si="23"/>
        <v>0.17464062271841563</v>
      </c>
    </row>
    <row r="98" spans="1:26" ht="12.75" customHeight="1" x14ac:dyDescent="0.2">
      <c r="A98" s="114" t="str">
        <f>$A$18</f>
        <v>25%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9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20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21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22"/>
        <v>0</v>
      </c>
      <c r="V98" s="136">
        <v>0</v>
      </c>
      <c r="W98" s="137">
        <v>0</v>
      </c>
      <c r="X98" s="137">
        <v>0</v>
      </c>
      <c r="Y98" s="171">
        <v>0</v>
      </c>
      <c r="Z98" s="139">
        <f t="shared" si="23"/>
        <v>0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0.99999999999999989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0.99999999999999989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1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Translation!$A$106</f>
        <v>Verzinsung der Altersguthaben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E11" s="156"/>
      <c r="J11" s="156"/>
      <c r="O11" s="156"/>
      <c r="T11" s="156"/>
      <c r="Y11" s="156"/>
    </row>
    <row r="12" spans="1:26" x14ac:dyDescent="0.2">
      <c r="A12" s="114" t="str">
        <f>Translation!$A107</f>
        <v>nicht definiert</v>
      </c>
      <c r="B12" s="30">
        <v>135</v>
      </c>
      <c r="C12" s="6">
        <v>332209</v>
      </c>
      <c r="D12" s="6">
        <v>133385</v>
      </c>
      <c r="E12" s="150">
        <v>115143.81</v>
      </c>
      <c r="F12" s="31">
        <f t="shared" ref="F12:F18" si="0">E12/E$36</f>
        <v>0.12747190006000558</v>
      </c>
      <c r="G12" s="41">
        <v>142</v>
      </c>
      <c r="H12" s="42">
        <v>330418</v>
      </c>
      <c r="I12" s="42">
        <v>132148</v>
      </c>
      <c r="J12" s="160">
        <v>111261.66500000001</v>
      </c>
      <c r="K12" s="44">
        <f t="shared" ref="K12:K18" si="1">J12/J$36</f>
        <v>0.12936423063183825</v>
      </c>
      <c r="L12" s="76">
        <v>157</v>
      </c>
      <c r="M12" s="122">
        <v>433797</v>
      </c>
      <c r="N12" s="122">
        <v>161168</v>
      </c>
      <c r="O12" s="167">
        <v>126244.208</v>
      </c>
      <c r="P12" s="124">
        <f t="shared" ref="P12:P18" si="2">O12/O$36</f>
        <v>0.15335230136681832</v>
      </c>
      <c r="Q12" s="76">
        <v>128</v>
      </c>
      <c r="R12" s="122">
        <v>439298</v>
      </c>
      <c r="S12" s="122">
        <v>174212</v>
      </c>
      <c r="T12" s="167">
        <v>150428.60800000001</v>
      </c>
      <c r="U12" s="124">
        <f t="shared" ref="U12:U18" si="3">T12/T$36</f>
        <v>0.18709304142950259</v>
      </c>
      <c r="V12" s="76">
        <v>169</v>
      </c>
      <c r="W12" s="122">
        <v>512878</v>
      </c>
      <c r="X12" s="122">
        <v>195543</v>
      </c>
      <c r="Y12" s="167">
        <v>165899.17000000001</v>
      </c>
      <c r="Z12" s="124">
        <f t="shared" ref="Z12:Z18" si="4">Y12/Y$36</f>
        <v>0.22254758063243366</v>
      </c>
    </row>
    <row r="13" spans="1:26" x14ac:dyDescent="0.2">
      <c r="A13" s="114" t="str">
        <f>Translation!$A124</f>
        <v>unter 1.00%</v>
      </c>
      <c r="B13" s="30">
        <v>79</v>
      </c>
      <c r="C13" s="6">
        <v>165164</v>
      </c>
      <c r="D13" s="6">
        <v>44038</v>
      </c>
      <c r="E13" s="150">
        <v>46532.523000000001</v>
      </c>
      <c r="F13" s="31">
        <f t="shared" si="0"/>
        <v>5.1514615691420247E-2</v>
      </c>
      <c r="G13" s="41">
        <v>105</v>
      </c>
      <c r="H13" s="42">
        <v>209143</v>
      </c>
      <c r="I13" s="42">
        <v>76593</v>
      </c>
      <c r="J13" s="160">
        <v>71760.957999999999</v>
      </c>
      <c r="K13" s="44">
        <f t="shared" si="1"/>
        <v>8.3436654674129279E-2</v>
      </c>
      <c r="L13" s="76">
        <v>108</v>
      </c>
      <c r="M13" s="122">
        <v>72172</v>
      </c>
      <c r="N13" s="122">
        <v>19456</v>
      </c>
      <c r="O13" s="167">
        <v>18120.302</v>
      </c>
      <c r="P13" s="124">
        <f t="shared" si="2"/>
        <v>2.2011227740141241E-2</v>
      </c>
      <c r="Q13" s="76">
        <v>111</v>
      </c>
      <c r="R13" s="122">
        <v>42422</v>
      </c>
      <c r="S13" s="122">
        <v>13110</v>
      </c>
      <c r="T13" s="167">
        <v>8779.3809999999994</v>
      </c>
      <c r="U13" s="124">
        <f t="shared" si="3"/>
        <v>1.0919206891540124E-2</v>
      </c>
      <c r="V13" s="76">
        <v>123</v>
      </c>
      <c r="W13" s="122">
        <v>42431</v>
      </c>
      <c r="X13" s="122">
        <v>15976</v>
      </c>
      <c r="Y13" s="167">
        <v>10072.306</v>
      </c>
      <c r="Z13" s="124">
        <f t="shared" si="4"/>
        <v>1.3511624751887217E-2</v>
      </c>
    </row>
    <row r="14" spans="1:26" x14ac:dyDescent="0.2">
      <c r="A14" s="114" t="str">
        <f>Translation!$A125</f>
        <v>1.00% – 1.49%</v>
      </c>
      <c r="B14" s="30">
        <v>507</v>
      </c>
      <c r="C14" s="6">
        <v>1781140</v>
      </c>
      <c r="D14" s="6">
        <v>279466</v>
      </c>
      <c r="E14" s="150">
        <v>298867.32299999997</v>
      </c>
      <c r="F14" s="31">
        <f t="shared" si="0"/>
        <v>0.33086611888782735</v>
      </c>
      <c r="G14" s="41">
        <v>709</v>
      </c>
      <c r="H14" s="42">
        <v>1974917</v>
      </c>
      <c r="I14" s="42">
        <v>347165</v>
      </c>
      <c r="J14" s="160">
        <v>372217.16499999998</v>
      </c>
      <c r="K14" s="44">
        <f t="shared" si="1"/>
        <v>0.43277787707193649</v>
      </c>
      <c r="L14" s="76">
        <v>70</v>
      </c>
      <c r="M14" s="122">
        <v>215795</v>
      </c>
      <c r="N14" s="122">
        <v>86305</v>
      </c>
      <c r="O14" s="167">
        <v>71195.061000000002</v>
      </c>
      <c r="P14" s="124">
        <f t="shared" si="2"/>
        <v>8.6482592930528859E-2</v>
      </c>
      <c r="Q14" s="76">
        <v>36</v>
      </c>
      <c r="R14" s="122">
        <v>127463</v>
      </c>
      <c r="S14" s="122">
        <v>45125</v>
      </c>
      <c r="T14" s="167">
        <v>38655.595999999998</v>
      </c>
      <c r="U14" s="124">
        <f t="shared" si="3"/>
        <v>4.8077244880907984E-2</v>
      </c>
      <c r="V14" s="76">
        <v>63</v>
      </c>
      <c r="W14" s="122">
        <v>168062</v>
      </c>
      <c r="X14" s="122">
        <v>50752</v>
      </c>
      <c r="Y14" s="167">
        <v>76657.255000000005</v>
      </c>
      <c r="Z14" s="124">
        <f t="shared" si="4"/>
        <v>0.10283286310699159</v>
      </c>
    </row>
    <row r="15" spans="1:26" x14ac:dyDescent="0.2">
      <c r="A15" s="114" t="str">
        <f>Translation!$A126</f>
        <v>1.50% – 1.99%</v>
      </c>
      <c r="B15" s="30">
        <v>155</v>
      </c>
      <c r="C15" s="6">
        <v>185952</v>
      </c>
      <c r="D15" s="6">
        <v>44915</v>
      </c>
      <c r="E15" s="150">
        <v>42332.332999999999</v>
      </c>
      <c r="F15" s="31">
        <f t="shared" si="0"/>
        <v>4.686472439537024E-2</v>
      </c>
      <c r="G15" s="41">
        <v>244</v>
      </c>
      <c r="H15" s="42">
        <v>624143</v>
      </c>
      <c r="I15" s="42">
        <v>113181</v>
      </c>
      <c r="J15" s="160">
        <v>101424.59800000001</v>
      </c>
      <c r="K15" s="44">
        <f t="shared" si="1"/>
        <v>0.11792664694900512</v>
      </c>
      <c r="L15" s="76">
        <v>807</v>
      </c>
      <c r="M15" s="122">
        <v>2243756</v>
      </c>
      <c r="N15" s="122">
        <v>365174</v>
      </c>
      <c r="O15" s="167">
        <v>386639.2</v>
      </c>
      <c r="P15" s="124">
        <f t="shared" si="2"/>
        <v>0.46966123878432148</v>
      </c>
      <c r="Q15" s="76">
        <v>679</v>
      </c>
      <c r="R15" s="122">
        <v>1849566</v>
      </c>
      <c r="S15" s="122">
        <v>296499</v>
      </c>
      <c r="T15" s="167">
        <v>301220.087</v>
      </c>
      <c r="U15" s="124">
        <f t="shared" si="3"/>
        <v>0.37463739753870073</v>
      </c>
      <c r="V15" s="76">
        <v>841</v>
      </c>
      <c r="W15" s="122">
        <v>2166463</v>
      </c>
      <c r="X15" s="122">
        <v>387267</v>
      </c>
      <c r="Y15" s="167">
        <v>246533.87299999999</v>
      </c>
      <c r="Z15" s="124">
        <f t="shared" si="4"/>
        <v>0.33071604264261029</v>
      </c>
    </row>
    <row r="16" spans="1:26" x14ac:dyDescent="0.2">
      <c r="A16" s="114" t="str">
        <f>Translation!$A127</f>
        <v>2.00% – 2.49%</v>
      </c>
      <c r="B16" s="30">
        <v>236</v>
      </c>
      <c r="C16" s="6">
        <v>747497</v>
      </c>
      <c r="D16" s="6">
        <v>129314</v>
      </c>
      <c r="E16" s="150">
        <v>124261.49500000001</v>
      </c>
      <c r="F16" s="31">
        <f t="shared" si="0"/>
        <v>0.13756578727025695</v>
      </c>
      <c r="G16" s="41">
        <v>205</v>
      </c>
      <c r="H16" s="42">
        <v>381996</v>
      </c>
      <c r="I16" s="42">
        <v>114389</v>
      </c>
      <c r="J16" s="160">
        <v>99928.63</v>
      </c>
      <c r="K16" s="44">
        <f t="shared" si="1"/>
        <v>0.11618728101942057</v>
      </c>
      <c r="L16" s="76">
        <v>236</v>
      </c>
      <c r="M16" s="122">
        <v>413834</v>
      </c>
      <c r="N16" s="122">
        <v>111256</v>
      </c>
      <c r="O16" s="167">
        <v>90346.364000000001</v>
      </c>
      <c r="P16" s="124">
        <f t="shared" si="2"/>
        <v>0.10974620585781066</v>
      </c>
      <c r="Q16" s="76">
        <v>242</v>
      </c>
      <c r="R16" s="122">
        <v>514085</v>
      </c>
      <c r="S16" s="122">
        <v>81566</v>
      </c>
      <c r="T16" s="167">
        <v>65043.98</v>
      </c>
      <c r="U16" s="124">
        <f t="shared" si="3"/>
        <v>8.0897351951031413E-2</v>
      </c>
      <c r="V16" s="76">
        <v>273</v>
      </c>
      <c r="W16" s="122">
        <v>466609</v>
      </c>
      <c r="X16" s="122">
        <v>111311</v>
      </c>
      <c r="Y16" s="167">
        <v>91527.313000000009</v>
      </c>
      <c r="Z16" s="124">
        <f t="shared" si="4"/>
        <v>0.1227804941395276</v>
      </c>
    </row>
    <row r="17" spans="1:26" ht="12.75" customHeight="1" x14ac:dyDescent="0.2">
      <c r="A17" s="110" t="str">
        <f>Translation!$A128</f>
        <v>2.50% – 2.99%</v>
      </c>
      <c r="B17" s="30">
        <v>114</v>
      </c>
      <c r="C17" s="6">
        <v>410757</v>
      </c>
      <c r="D17" s="6">
        <v>119770</v>
      </c>
      <c r="E17" s="150">
        <v>110756.88800000001</v>
      </c>
      <c r="F17" s="31">
        <f t="shared" si="0"/>
        <v>0.12261528394877008</v>
      </c>
      <c r="G17" s="41">
        <v>98</v>
      </c>
      <c r="H17" s="42">
        <v>380662</v>
      </c>
      <c r="I17" s="42">
        <v>58441</v>
      </c>
      <c r="J17" s="160">
        <v>61091.013999999996</v>
      </c>
      <c r="K17" s="44">
        <f t="shared" si="1"/>
        <v>7.1030682712045143E-2</v>
      </c>
      <c r="L17" s="76">
        <v>135</v>
      </c>
      <c r="M17" s="122">
        <v>395506</v>
      </c>
      <c r="N17" s="122">
        <v>80708</v>
      </c>
      <c r="O17" s="167">
        <v>80829.069000000003</v>
      </c>
      <c r="P17" s="124">
        <f t="shared" si="2"/>
        <v>9.8185286634990446E-2</v>
      </c>
      <c r="Q17" s="76">
        <v>181</v>
      </c>
      <c r="R17" s="122">
        <v>419006</v>
      </c>
      <c r="S17" s="122">
        <v>93754</v>
      </c>
      <c r="T17" s="167">
        <v>94076.217000000004</v>
      </c>
      <c r="U17" s="124">
        <f t="shared" si="3"/>
        <v>0.11700570655225286</v>
      </c>
      <c r="V17" s="76">
        <v>125</v>
      </c>
      <c r="W17" s="122">
        <v>227113</v>
      </c>
      <c r="X17" s="122">
        <v>103230</v>
      </c>
      <c r="Y17" s="167">
        <v>79953.019</v>
      </c>
      <c r="Z17" s="124">
        <f t="shared" si="4"/>
        <v>0.10725400821902242</v>
      </c>
    </row>
    <row r="18" spans="1:26" ht="12.75" customHeight="1" x14ac:dyDescent="0.2">
      <c r="A18" s="110" t="str">
        <f>Translation!$A129</f>
        <v>3.00% oder höher</v>
      </c>
      <c r="B18" s="30">
        <v>428</v>
      </c>
      <c r="C18" s="6">
        <v>553193</v>
      </c>
      <c r="D18" s="6">
        <v>166603</v>
      </c>
      <c r="E18" s="150">
        <v>165393.41099999999</v>
      </c>
      <c r="F18" s="31">
        <f t="shared" si="0"/>
        <v>0.18310156974634961</v>
      </c>
      <c r="G18" s="41">
        <v>179</v>
      </c>
      <c r="H18" s="42">
        <v>148815</v>
      </c>
      <c r="I18" s="42">
        <v>46908</v>
      </c>
      <c r="J18" s="160">
        <v>42381.109000000004</v>
      </c>
      <c r="K18" s="44">
        <f t="shared" si="1"/>
        <v>4.9276626941625178E-2</v>
      </c>
      <c r="L18" s="76">
        <v>230</v>
      </c>
      <c r="M18" s="122">
        <v>263295</v>
      </c>
      <c r="N18" s="122">
        <v>54534</v>
      </c>
      <c r="O18" s="167">
        <v>49855.750000000007</v>
      </c>
      <c r="P18" s="124">
        <f t="shared" si="2"/>
        <v>6.0561146685388957E-2</v>
      </c>
      <c r="Q18" s="76">
        <v>468</v>
      </c>
      <c r="R18" s="122">
        <v>612197</v>
      </c>
      <c r="S18" s="122">
        <v>164552</v>
      </c>
      <c r="T18" s="167">
        <v>145827.14600000001</v>
      </c>
      <c r="U18" s="124">
        <f t="shared" si="3"/>
        <v>0.18137005075606447</v>
      </c>
      <c r="V18" s="76">
        <v>311</v>
      </c>
      <c r="W18" s="122">
        <v>349192</v>
      </c>
      <c r="X18" s="122">
        <v>79253</v>
      </c>
      <c r="Y18" s="167">
        <v>74811.89899999999</v>
      </c>
      <c r="Z18" s="124">
        <f t="shared" si="4"/>
        <v>0.1003573865075273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804031.0149999999</v>
      </c>
      <c r="U36" s="127">
        <f>SUM(U$12:U$35)</f>
        <v>1.0000000000000002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E51" s="156"/>
      <c r="J51" s="156"/>
      <c r="O51" s="156"/>
      <c r="T51" s="156"/>
      <c r="Y51" s="156"/>
    </row>
    <row r="52" spans="1:26" x14ac:dyDescent="0.2">
      <c r="A52" s="114" t="str">
        <f>$A$12</f>
        <v>nicht definiert</v>
      </c>
      <c r="B52" s="33">
        <v>123</v>
      </c>
      <c r="C52" s="8">
        <v>177285</v>
      </c>
      <c r="D52" s="8">
        <v>58869</v>
      </c>
      <c r="E52" s="152">
        <v>51459.964999999997</v>
      </c>
      <c r="F52" s="34">
        <f t="shared" ref="F52:F58" si="10">E52/E$76</f>
        <v>6.6893876261318624E-2</v>
      </c>
      <c r="G52" s="47">
        <v>129</v>
      </c>
      <c r="H52" s="48">
        <v>177948</v>
      </c>
      <c r="I52" s="48">
        <v>60388</v>
      </c>
      <c r="J52" s="162">
        <v>50999.186999999998</v>
      </c>
      <c r="K52" s="50">
        <f t="shared" ref="K52:K58" si="11">J52/J$76</f>
        <v>6.959612289375576E-2</v>
      </c>
      <c r="L52" s="128">
        <v>141</v>
      </c>
      <c r="M52" s="129">
        <v>261128</v>
      </c>
      <c r="N52" s="129">
        <v>75375</v>
      </c>
      <c r="O52" s="169">
        <v>57853.428</v>
      </c>
      <c r="P52" s="131">
        <f t="shared" ref="P52:P58" si="12">O52/O$76</f>
        <v>8.2180272393207465E-2</v>
      </c>
      <c r="Q52" s="128">
        <v>107</v>
      </c>
      <c r="R52" s="129">
        <v>190727</v>
      </c>
      <c r="S52" s="129">
        <v>58298</v>
      </c>
      <c r="T52" s="169">
        <v>55788.99</v>
      </c>
      <c r="U52" s="131">
        <f t="shared" ref="U52:U58" si="13">T52/T$76</f>
        <v>8.2196157974175232E-2</v>
      </c>
      <c r="V52" s="128">
        <v>137</v>
      </c>
      <c r="W52" s="129">
        <v>237508</v>
      </c>
      <c r="X52" s="129">
        <v>71597</v>
      </c>
      <c r="Y52" s="169">
        <v>65151.525000000001</v>
      </c>
      <c r="Z52" s="131">
        <f t="shared" ref="Z52:Z58" si="14">Y52/Y$76</f>
        <v>0.10565249613204156</v>
      </c>
    </row>
    <row r="53" spans="1:26" x14ac:dyDescent="0.2">
      <c r="A53" s="114" t="str">
        <f>$A$13</f>
        <v>unter 1.00%</v>
      </c>
      <c r="B53" s="33">
        <v>77</v>
      </c>
      <c r="C53" s="8">
        <v>164714</v>
      </c>
      <c r="D53" s="8">
        <v>43802</v>
      </c>
      <c r="E53" s="152">
        <v>46400.525000000001</v>
      </c>
      <c r="F53" s="34">
        <f t="shared" si="10"/>
        <v>6.031700522552283E-2</v>
      </c>
      <c r="G53" s="47">
        <v>102</v>
      </c>
      <c r="H53" s="48">
        <v>205905</v>
      </c>
      <c r="I53" s="48">
        <v>74822</v>
      </c>
      <c r="J53" s="162">
        <v>70896.429999999993</v>
      </c>
      <c r="K53" s="50">
        <f t="shared" si="11"/>
        <v>9.6748927684054103E-2</v>
      </c>
      <c r="L53" s="128">
        <v>107</v>
      </c>
      <c r="M53" s="129">
        <v>69610</v>
      </c>
      <c r="N53" s="129">
        <v>18033</v>
      </c>
      <c r="O53" s="169">
        <v>17444.898000000001</v>
      </c>
      <c r="P53" s="131">
        <f t="shared" si="12"/>
        <v>2.4780320182785368E-2</v>
      </c>
      <c r="Q53" s="128">
        <v>111</v>
      </c>
      <c r="R53" s="129">
        <v>42422</v>
      </c>
      <c r="S53" s="129">
        <v>13110</v>
      </c>
      <c r="T53" s="169">
        <v>8779.3809999999994</v>
      </c>
      <c r="U53" s="131">
        <f t="shared" si="13"/>
        <v>1.2935014374547246E-2</v>
      </c>
      <c r="V53" s="128">
        <v>122</v>
      </c>
      <c r="W53" s="129">
        <v>39022</v>
      </c>
      <c r="X53" s="129">
        <v>13957</v>
      </c>
      <c r="Y53" s="169">
        <v>8866.5869999999995</v>
      </c>
      <c r="Z53" s="131">
        <f t="shared" si="14"/>
        <v>1.4378436248758718E-2</v>
      </c>
    </row>
    <row r="54" spans="1:26" x14ac:dyDescent="0.2">
      <c r="A54" s="114" t="str">
        <f>$A$14</f>
        <v>1.00% – 1.49%</v>
      </c>
      <c r="B54" s="33">
        <v>495</v>
      </c>
      <c r="C54" s="8">
        <v>1726373</v>
      </c>
      <c r="D54" s="8">
        <v>254937</v>
      </c>
      <c r="E54" s="152">
        <v>277187.11099999998</v>
      </c>
      <c r="F54" s="34">
        <f t="shared" si="10"/>
        <v>0.36032127702508915</v>
      </c>
      <c r="G54" s="47">
        <v>694</v>
      </c>
      <c r="H54" s="48">
        <v>1912533</v>
      </c>
      <c r="I54" s="48">
        <v>321282</v>
      </c>
      <c r="J54" s="162">
        <v>349582.48499999999</v>
      </c>
      <c r="K54" s="50">
        <f t="shared" si="11"/>
        <v>0.47705830266597243</v>
      </c>
      <c r="L54" s="128">
        <v>67</v>
      </c>
      <c r="M54" s="129">
        <v>203959</v>
      </c>
      <c r="N54" s="129">
        <v>80768</v>
      </c>
      <c r="O54" s="169">
        <v>66270.455000000002</v>
      </c>
      <c r="P54" s="131">
        <f t="shared" si="12"/>
        <v>9.4136583289788772E-2</v>
      </c>
      <c r="Q54" s="128">
        <v>34</v>
      </c>
      <c r="R54" s="129">
        <v>120385</v>
      </c>
      <c r="S54" s="129">
        <v>42262</v>
      </c>
      <c r="T54" s="169">
        <v>36816.06</v>
      </c>
      <c r="U54" s="131">
        <f t="shared" si="13"/>
        <v>5.4242578755175776E-2</v>
      </c>
      <c r="V54" s="128">
        <v>61</v>
      </c>
      <c r="W54" s="129">
        <v>165023</v>
      </c>
      <c r="X54" s="129">
        <v>49148</v>
      </c>
      <c r="Y54" s="169">
        <v>75861.11</v>
      </c>
      <c r="Z54" s="131">
        <f t="shared" si="14"/>
        <v>0.12301961666818051</v>
      </c>
    </row>
    <row r="55" spans="1:26" x14ac:dyDescent="0.2">
      <c r="A55" s="114" t="str">
        <f>$A$15</f>
        <v>1.50% – 1.99%</v>
      </c>
      <c r="B55" s="33">
        <v>153</v>
      </c>
      <c r="C55" s="8">
        <v>185209</v>
      </c>
      <c r="D55" s="8">
        <v>44377</v>
      </c>
      <c r="E55" s="152">
        <v>41995.712</v>
      </c>
      <c r="F55" s="34">
        <f t="shared" si="10"/>
        <v>5.4591097410073522E-2</v>
      </c>
      <c r="G55" s="47">
        <v>243</v>
      </c>
      <c r="H55" s="48">
        <v>614166</v>
      </c>
      <c r="I55" s="48">
        <v>110304</v>
      </c>
      <c r="J55" s="162">
        <v>98073.832000000009</v>
      </c>
      <c r="K55" s="50">
        <f t="shared" si="11"/>
        <v>0.1338366132098058</v>
      </c>
      <c r="L55" s="128">
        <v>792</v>
      </c>
      <c r="M55" s="129">
        <v>2144244</v>
      </c>
      <c r="N55" s="129">
        <v>325284</v>
      </c>
      <c r="O55" s="169">
        <v>351070.39600000001</v>
      </c>
      <c r="P55" s="131">
        <f t="shared" si="12"/>
        <v>0.49869232938921465</v>
      </c>
      <c r="Q55" s="128">
        <v>667</v>
      </c>
      <c r="R55" s="129">
        <v>1819239</v>
      </c>
      <c r="S55" s="129">
        <v>282117</v>
      </c>
      <c r="T55" s="169">
        <v>290066.37699999998</v>
      </c>
      <c r="U55" s="131">
        <f t="shared" si="13"/>
        <v>0.42736643461171581</v>
      </c>
      <c r="V55" s="128">
        <v>825</v>
      </c>
      <c r="W55" s="129">
        <v>2117546</v>
      </c>
      <c r="X55" s="129">
        <v>366973</v>
      </c>
      <c r="Y55" s="169">
        <v>230158.98699999999</v>
      </c>
      <c r="Z55" s="131">
        <f t="shared" si="14"/>
        <v>0.37323564542460214</v>
      </c>
    </row>
    <row r="56" spans="1:26" x14ac:dyDescent="0.2">
      <c r="A56" s="114" t="str">
        <f>$A$16</f>
        <v>2.00% – 2.49%</v>
      </c>
      <c r="B56" s="33">
        <v>233</v>
      </c>
      <c r="C56" s="8">
        <v>737570</v>
      </c>
      <c r="D56" s="8">
        <v>124682</v>
      </c>
      <c r="E56" s="152">
        <v>121650.08500000001</v>
      </c>
      <c r="F56" s="34">
        <f t="shared" si="10"/>
        <v>0.15813546964458475</v>
      </c>
      <c r="G56" s="47">
        <v>201</v>
      </c>
      <c r="H56" s="48">
        <v>316474</v>
      </c>
      <c r="I56" s="48">
        <v>86041</v>
      </c>
      <c r="J56" s="162">
        <v>74213.623000000007</v>
      </c>
      <c r="K56" s="50">
        <f t="shared" si="11"/>
        <v>0.10127574046815412</v>
      </c>
      <c r="L56" s="128">
        <v>235</v>
      </c>
      <c r="M56" s="129">
        <v>397643</v>
      </c>
      <c r="N56" s="129">
        <v>103889</v>
      </c>
      <c r="O56" s="169">
        <v>82881.319000000003</v>
      </c>
      <c r="P56" s="131">
        <f t="shared" si="12"/>
        <v>0.11773216570206214</v>
      </c>
      <c r="Q56" s="128">
        <v>241</v>
      </c>
      <c r="R56" s="129">
        <v>513725</v>
      </c>
      <c r="S56" s="129">
        <v>81366</v>
      </c>
      <c r="T56" s="169">
        <v>64934.18</v>
      </c>
      <c r="U56" s="131">
        <f t="shared" si="13"/>
        <v>9.5670133429616305E-2</v>
      </c>
      <c r="V56" s="128">
        <v>270</v>
      </c>
      <c r="W56" s="129">
        <v>456091</v>
      </c>
      <c r="X56" s="129">
        <v>108340</v>
      </c>
      <c r="Y56" s="169">
        <v>88357.986000000004</v>
      </c>
      <c r="Z56" s="131">
        <f t="shared" si="14"/>
        <v>0.143285084640766</v>
      </c>
    </row>
    <row r="57" spans="1:26" ht="12.75" customHeight="1" x14ac:dyDescent="0.2">
      <c r="A57" s="114" t="str">
        <f>$A$17</f>
        <v>2.50% – 2.99%</v>
      </c>
      <c r="B57" s="33">
        <v>111</v>
      </c>
      <c r="C57" s="8">
        <v>365167</v>
      </c>
      <c r="D57" s="8">
        <v>92334</v>
      </c>
      <c r="E57" s="152">
        <v>88021.216</v>
      </c>
      <c r="F57" s="34">
        <f t="shared" si="10"/>
        <v>0.11442060505627627</v>
      </c>
      <c r="G57" s="47">
        <v>97</v>
      </c>
      <c r="H57" s="48">
        <v>375204</v>
      </c>
      <c r="I57" s="48">
        <v>54744</v>
      </c>
      <c r="J57" s="162">
        <v>58872.082999999999</v>
      </c>
      <c r="K57" s="50">
        <f t="shared" si="11"/>
        <v>8.0339883133419152E-2</v>
      </c>
      <c r="L57" s="128">
        <v>134</v>
      </c>
      <c r="M57" s="129">
        <v>390325</v>
      </c>
      <c r="N57" s="129">
        <v>77002</v>
      </c>
      <c r="O57" s="169">
        <v>78634.305999999997</v>
      </c>
      <c r="P57" s="131">
        <f t="shared" si="12"/>
        <v>0.11169932206144859</v>
      </c>
      <c r="Q57" s="128">
        <v>180</v>
      </c>
      <c r="R57" s="129">
        <v>394960</v>
      </c>
      <c r="S57" s="129">
        <v>86220</v>
      </c>
      <c r="T57" s="169">
        <v>86999.788</v>
      </c>
      <c r="U57" s="131">
        <f t="shared" si="13"/>
        <v>0.12818027926599415</v>
      </c>
      <c r="V57" s="128">
        <v>125</v>
      </c>
      <c r="W57" s="129">
        <v>227113</v>
      </c>
      <c r="X57" s="129">
        <v>103230</v>
      </c>
      <c r="Y57" s="169">
        <v>79953.019</v>
      </c>
      <c r="Z57" s="131">
        <f t="shared" si="14"/>
        <v>0.129655231103839</v>
      </c>
    </row>
    <row r="58" spans="1:26" ht="12.75" customHeight="1" x14ac:dyDescent="0.2">
      <c r="A58" s="114" t="str">
        <f>$A$18</f>
        <v>3.00% oder höher</v>
      </c>
      <c r="B58" s="33">
        <v>424</v>
      </c>
      <c r="C58" s="8">
        <v>493871</v>
      </c>
      <c r="D58" s="8">
        <v>142306</v>
      </c>
      <c r="E58" s="152">
        <v>142563.052</v>
      </c>
      <c r="F58" s="34">
        <f t="shared" si="10"/>
        <v>0.1853206693771349</v>
      </c>
      <c r="G58" s="47">
        <v>177</v>
      </c>
      <c r="H58" s="48">
        <v>125824</v>
      </c>
      <c r="I58" s="48">
        <v>31146</v>
      </c>
      <c r="J58" s="162">
        <v>30150.120000000003</v>
      </c>
      <c r="K58" s="50">
        <f t="shared" si="11"/>
        <v>4.1144409944838603E-2</v>
      </c>
      <c r="L58" s="128">
        <v>229</v>
      </c>
      <c r="M58" s="129">
        <v>262903</v>
      </c>
      <c r="N58" s="129">
        <v>54416</v>
      </c>
      <c r="O58" s="169">
        <v>49827.143000000004</v>
      </c>
      <c r="P58" s="131">
        <f t="shared" si="12"/>
        <v>7.0779006981492962E-2</v>
      </c>
      <c r="Q58" s="128">
        <v>462</v>
      </c>
      <c r="R58" s="129">
        <v>583199</v>
      </c>
      <c r="S58" s="129">
        <v>151533</v>
      </c>
      <c r="T58" s="169">
        <v>135345.12299999999</v>
      </c>
      <c r="U58" s="131">
        <f t="shared" si="13"/>
        <v>0.19940940158877543</v>
      </c>
      <c r="V58" s="128">
        <v>307</v>
      </c>
      <c r="W58" s="129">
        <v>332329</v>
      </c>
      <c r="X58" s="129">
        <v>70382</v>
      </c>
      <c r="Y58" s="169">
        <v>68309.429999999993</v>
      </c>
      <c r="Z58" s="131">
        <f t="shared" si="14"/>
        <v>0.1107734897818119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0.99999999999999989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0.99999999999999989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E91" s="156"/>
      <c r="J91" s="156"/>
      <c r="O91" s="156"/>
      <c r="T91" s="156"/>
      <c r="Y91" s="156"/>
    </row>
    <row r="92" spans="1:26" x14ac:dyDescent="0.2">
      <c r="A92" s="114" t="str">
        <f>$A$12</f>
        <v>nicht definiert</v>
      </c>
      <c r="B92" s="36">
        <v>12</v>
      </c>
      <c r="C92" s="10">
        <v>154924</v>
      </c>
      <c r="D92" s="10">
        <v>74516</v>
      </c>
      <c r="E92" s="154">
        <v>63683.845000000001</v>
      </c>
      <c r="F92" s="37">
        <f t="shared" ref="F92:F98" si="19">E92/E$116</f>
        <v>0.47521669576633535</v>
      </c>
      <c r="G92" s="53">
        <v>13</v>
      </c>
      <c r="H92" s="54">
        <v>152470</v>
      </c>
      <c r="I92" s="54">
        <v>71760</v>
      </c>
      <c r="J92" s="164">
        <v>60262.478000000003</v>
      </c>
      <c r="K92" s="56">
        <f t="shared" ref="K92:K98" si="20">J92/J$116</f>
        <v>0.4734735934497834</v>
      </c>
      <c r="L92" s="136">
        <v>16</v>
      </c>
      <c r="M92" s="137">
        <v>172669</v>
      </c>
      <c r="N92" s="137">
        <v>85793</v>
      </c>
      <c r="O92" s="171">
        <v>68390.78</v>
      </c>
      <c r="P92" s="139">
        <f t="shared" ref="P92:P98" si="21">O92/O$116</f>
        <v>0.57351716455073054</v>
      </c>
      <c r="Q92" s="136">
        <v>21</v>
      </c>
      <c r="R92" s="137">
        <v>248571</v>
      </c>
      <c r="S92" s="137">
        <v>115914</v>
      </c>
      <c r="T92" s="171">
        <v>94639.618000000002</v>
      </c>
      <c r="U92" s="139">
        <f t="shared" ref="U92:U98" si="22">T92/T$116</f>
        <v>0.75529748673587227</v>
      </c>
      <c r="V92" s="136">
        <v>32</v>
      </c>
      <c r="W92" s="137">
        <v>275370</v>
      </c>
      <c r="X92" s="137">
        <v>123946</v>
      </c>
      <c r="Y92" s="171">
        <v>100747.645</v>
      </c>
      <c r="Z92" s="139">
        <f t="shared" ref="Z92:Z98" si="23">Y92/Y$116</f>
        <v>0.78222534546848521</v>
      </c>
    </row>
    <row r="93" spans="1:26" x14ac:dyDescent="0.2">
      <c r="A93" s="114" t="str">
        <f>$A$13</f>
        <v>unter 1.00%</v>
      </c>
      <c r="B93" s="36">
        <v>2</v>
      </c>
      <c r="C93" s="10">
        <v>450</v>
      </c>
      <c r="D93" s="10">
        <v>236</v>
      </c>
      <c r="E93" s="154">
        <v>131.99799999999999</v>
      </c>
      <c r="F93" s="37">
        <f t="shared" si="19"/>
        <v>9.8498533509973731E-4</v>
      </c>
      <c r="G93" s="53">
        <v>3</v>
      </c>
      <c r="H93" s="54">
        <v>3238</v>
      </c>
      <c r="I93" s="54">
        <v>1771</v>
      </c>
      <c r="J93" s="164">
        <v>864.52800000000002</v>
      </c>
      <c r="K93" s="56">
        <f t="shared" si="20"/>
        <v>6.7924717400096686E-3</v>
      </c>
      <c r="L93" s="136">
        <v>1</v>
      </c>
      <c r="M93" s="137">
        <v>2562</v>
      </c>
      <c r="N93" s="137">
        <v>1423</v>
      </c>
      <c r="O93" s="171">
        <v>675.404</v>
      </c>
      <c r="P93" s="139">
        <f t="shared" si="21"/>
        <v>5.6638597630590207E-3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22"/>
        <v>0</v>
      </c>
      <c r="V93" s="136">
        <v>1</v>
      </c>
      <c r="W93" s="137">
        <v>3409</v>
      </c>
      <c r="X93" s="137">
        <v>2019</v>
      </c>
      <c r="Y93" s="171">
        <v>1205.7190000000001</v>
      </c>
      <c r="Z93" s="139">
        <f t="shared" si="23"/>
        <v>9.3614492062113856E-3</v>
      </c>
    </row>
    <row r="94" spans="1:26" x14ac:dyDescent="0.2">
      <c r="A94" s="114" t="str">
        <f>$A$14</f>
        <v>1.00% – 1.49%</v>
      </c>
      <c r="B94" s="36">
        <v>12</v>
      </c>
      <c r="C94" s="10">
        <v>54767</v>
      </c>
      <c r="D94" s="10">
        <v>24529</v>
      </c>
      <c r="E94" s="154">
        <v>21680.212</v>
      </c>
      <c r="F94" s="37">
        <f t="shared" si="19"/>
        <v>0.16178041244453209</v>
      </c>
      <c r="G94" s="53">
        <v>15</v>
      </c>
      <c r="H94" s="54">
        <v>62384</v>
      </c>
      <c r="I94" s="54">
        <v>25883</v>
      </c>
      <c r="J94" s="164">
        <v>22634.68</v>
      </c>
      <c r="K94" s="56">
        <f t="shared" si="20"/>
        <v>0.17783741445524268</v>
      </c>
      <c r="L94" s="136">
        <v>3</v>
      </c>
      <c r="M94" s="137">
        <v>11836</v>
      </c>
      <c r="N94" s="137">
        <v>5537</v>
      </c>
      <c r="O94" s="171">
        <v>4924.6059999999998</v>
      </c>
      <c r="P94" s="139">
        <f t="shared" si="21"/>
        <v>4.1297175871506581E-2</v>
      </c>
      <c r="Q94" s="136">
        <v>2</v>
      </c>
      <c r="R94" s="137">
        <v>7078</v>
      </c>
      <c r="S94" s="137">
        <v>2863</v>
      </c>
      <c r="T94" s="171">
        <v>1839.5360000000001</v>
      </c>
      <c r="U94" s="139">
        <f t="shared" si="22"/>
        <v>1.4680922714207907E-2</v>
      </c>
      <c r="V94" s="136">
        <v>2</v>
      </c>
      <c r="W94" s="137">
        <v>3039</v>
      </c>
      <c r="X94" s="137">
        <v>1604</v>
      </c>
      <c r="Y94" s="171">
        <v>796.14499999999998</v>
      </c>
      <c r="Z94" s="139">
        <f t="shared" si="23"/>
        <v>6.1814328033971125E-3</v>
      </c>
    </row>
    <row r="95" spans="1:26" x14ac:dyDescent="0.2">
      <c r="A95" s="114" t="str">
        <f>$A$15</f>
        <v>1.50% – 1.99%</v>
      </c>
      <c r="B95" s="36">
        <v>2</v>
      </c>
      <c r="C95" s="10">
        <v>743</v>
      </c>
      <c r="D95" s="10">
        <v>538</v>
      </c>
      <c r="E95" s="154">
        <v>336.62099999999998</v>
      </c>
      <c r="F95" s="37">
        <f t="shared" si="19"/>
        <v>2.5119073659192461E-3</v>
      </c>
      <c r="G95" s="53">
        <v>1</v>
      </c>
      <c r="H95" s="54">
        <v>9977</v>
      </c>
      <c r="I95" s="54">
        <v>2877</v>
      </c>
      <c r="J95" s="164">
        <v>3350.7660000000001</v>
      </c>
      <c r="K95" s="56">
        <f t="shared" si="20"/>
        <v>2.6326484928637633E-2</v>
      </c>
      <c r="L95" s="136">
        <v>15</v>
      </c>
      <c r="M95" s="137">
        <v>99512</v>
      </c>
      <c r="N95" s="137">
        <v>39890</v>
      </c>
      <c r="O95" s="171">
        <v>35568.804000000004</v>
      </c>
      <c r="P95" s="139">
        <f t="shared" si="21"/>
        <v>0.29827587310074083</v>
      </c>
      <c r="Q95" s="136">
        <v>12</v>
      </c>
      <c r="R95" s="137">
        <v>30327</v>
      </c>
      <c r="S95" s="137">
        <v>14382</v>
      </c>
      <c r="T95" s="171">
        <v>11153.71</v>
      </c>
      <c r="U95" s="139">
        <f t="shared" si="22"/>
        <v>8.9015248675039724E-2</v>
      </c>
      <c r="V95" s="136">
        <v>16</v>
      </c>
      <c r="W95" s="137">
        <v>48917</v>
      </c>
      <c r="X95" s="137">
        <v>20294</v>
      </c>
      <c r="Y95" s="171">
        <v>16374.886</v>
      </c>
      <c r="Z95" s="139">
        <f t="shared" si="23"/>
        <v>0.12713796792329052</v>
      </c>
    </row>
    <row r="96" spans="1:26" x14ac:dyDescent="0.2">
      <c r="A96" s="114" t="str">
        <f>$A$16</f>
        <v>2.00% – 2.49%</v>
      </c>
      <c r="B96" s="36">
        <v>3</v>
      </c>
      <c r="C96" s="10">
        <v>9927</v>
      </c>
      <c r="D96" s="10">
        <v>4632</v>
      </c>
      <c r="E96" s="154">
        <v>2611.41</v>
      </c>
      <c r="F96" s="37">
        <f t="shared" si="19"/>
        <v>1.9486663085295269E-2</v>
      </c>
      <c r="G96" s="53">
        <v>4</v>
      </c>
      <c r="H96" s="54">
        <v>65522</v>
      </c>
      <c r="I96" s="54">
        <v>28348</v>
      </c>
      <c r="J96" s="164">
        <v>25715.007000000001</v>
      </c>
      <c r="K96" s="56">
        <f t="shared" si="20"/>
        <v>0.20203909918666696</v>
      </c>
      <c r="L96" s="136">
        <v>1</v>
      </c>
      <c r="M96" s="137">
        <v>16191</v>
      </c>
      <c r="N96" s="137">
        <v>7367</v>
      </c>
      <c r="O96" s="171">
        <v>7465.0450000000001</v>
      </c>
      <c r="P96" s="139">
        <f t="shared" si="21"/>
        <v>6.2601003258679136E-2</v>
      </c>
      <c r="Q96" s="136">
        <v>1</v>
      </c>
      <c r="R96" s="137">
        <v>360</v>
      </c>
      <c r="S96" s="137">
        <v>200</v>
      </c>
      <c r="T96" s="171">
        <v>109.8</v>
      </c>
      <c r="U96" s="139">
        <f t="shared" si="22"/>
        <v>8.7628908269260736E-4</v>
      </c>
      <c r="V96" s="136">
        <v>3</v>
      </c>
      <c r="W96" s="137">
        <v>10518</v>
      </c>
      <c r="X96" s="137">
        <v>2971</v>
      </c>
      <c r="Y96" s="171">
        <v>3169.3270000000002</v>
      </c>
      <c r="Z96" s="139">
        <f t="shared" si="23"/>
        <v>2.4607303798293227E-2</v>
      </c>
    </row>
    <row r="97" spans="1:26" ht="12.75" customHeight="1" x14ac:dyDescent="0.2">
      <c r="A97" s="114" t="str">
        <f>$A$17</f>
        <v>2.50% – 2.99%</v>
      </c>
      <c r="B97" s="36">
        <v>3</v>
      </c>
      <c r="C97" s="10">
        <v>45590</v>
      </c>
      <c r="D97" s="10">
        <v>27436</v>
      </c>
      <c r="E97" s="154">
        <v>22735.671999999999</v>
      </c>
      <c r="F97" s="37">
        <f t="shared" si="19"/>
        <v>0.16965638497278529</v>
      </c>
      <c r="G97" s="53">
        <v>1</v>
      </c>
      <c r="H97" s="54">
        <v>5458</v>
      </c>
      <c r="I97" s="54">
        <v>3697</v>
      </c>
      <c r="J97" s="164">
        <v>2218.931</v>
      </c>
      <c r="K97" s="56">
        <f t="shared" si="20"/>
        <v>1.7433820663450339E-2</v>
      </c>
      <c r="L97" s="136">
        <v>1</v>
      </c>
      <c r="M97" s="137">
        <v>5181</v>
      </c>
      <c r="N97" s="137">
        <v>3706</v>
      </c>
      <c r="O97" s="171">
        <v>2194.7629999999999</v>
      </c>
      <c r="P97" s="139">
        <f t="shared" si="21"/>
        <v>1.8405028464668117E-2</v>
      </c>
      <c r="Q97" s="136">
        <v>1</v>
      </c>
      <c r="R97" s="137">
        <v>24046</v>
      </c>
      <c r="S97" s="137">
        <v>7534</v>
      </c>
      <c r="T97" s="171">
        <v>7076.4290000000001</v>
      </c>
      <c r="U97" s="139">
        <f t="shared" si="22"/>
        <v>5.6475386859283834E-2</v>
      </c>
      <c r="V97" s="136">
        <v>0</v>
      </c>
      <c r="W97" s="137">
        <v>0</v>
      </c>
      <c r="X97" s="137">
        <v>0</v>
      </c>
      <c r="Y97" s="171">
        <v>0</v>
      </c>
      <c r="Z97" s="139">
        <f t="shared" si="23"/>
        <v>0</v>
      </c>
    </row>
    <row r="98" spans="1:26" ht="12.75" customHeight="1" x14ac:dyDescent="0.2">
      <c r="A98" s="114" t="str">
        <f>$A$18</f>
        <v>3.00% oder höher</v>
      </c>
      <c r="B98" s="36">
        <v>4</v>
      </c>
      <c r="C98" s="10">
        <v>59322</v>
      </c>
      <c r="D98" s="10">
        <v>24297</v>
      </c>
      <c r="E98" s="154">
        <v>22830.359</v>
      </c>
      <c r="F98" s="37">
        <f t="shared" si="19"/>
        <v>0.17036295103003307</v>
      </c>
      <c r="G98" s="53">
        <v>2</v>
      </c>
      <c r="H98" s="54">
        <v>22991</v>
      </c>
      <c r="I98" s="54">
        <v>15762</v>
      </c>
      <c r="J98" s="164">
        <v>12230.989</v>
      </c>
      <c r="K98" s="56">
        <f t="shared" si="20"/>
        <v>9.6097115576209341E-2</v>
      </c>
      <c r="L98" s="136">
        <v>1</v>
      </c>
      <c r="M98" s="137">
        <v>392</v>
      </c>
      <c r="N98" s="137">
        <v>118</v>
      </c>
      <c r="O98" s="171">
        <v>28.606999999999999</v>
      </c>
      <c r="P98" s="139">
        <f t="shared" si="21"/>
        <v>2.3989499061573429E-4</v>
      </c>
      <c r="Q98" s="136">
        <v>6</v>
      </c>
      <c r="R98" s="137">
        <v>28998</v>
      </c>
      <c r="S98" s="137">
        <v>13019</v>
      </c>
      <c r="T98" s="171">
        <v>10482.023000000001</v>
      </c>
      <c r="U98" s="139">
        <f t="shared" si="22"/>
        <v>8.3654665932903591E-2</v>
      </c>
      <c r="V98" s="136">
        <v>4</v>
      </c>
      <c r="W98" s="137">
        <v>16863</v>
      </c>
      <c r="X98" s="137">
        <v>8871</v>
      </c>
      <c r="Y98" s="171">
        <v>6502.4689999999991</v>
      </c>
      <c r="Z98" s="139">
        <f t="shared" si="23"/>
        <v>5.0486500800322569E-2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4" width="11" style="1"/>
    <col min="25" max="25" width="11" style="166"/>
    <col min="26" max="16384" width="11" style="1"/>
  </cols>
  <sheetData>
    <row r="1" spans="1:25" s="22" customFormat="1" ht="18" x14ac:dyDescent="0.25">
      <c r="A1" s="109" t="str">
        <f>Translation!$A$438</f>
        <v>Nettorendite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Y1" s="157"/>
    </row>
    <row r="2" spans="1:25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Y2" s="158"/>
    </row>
    <row r="3" spans="1:25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Y3" s="158"/>
    </row>
    <row r="4" spans="1:25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Y4" s="158"/>
    </row>
    <row r="5" spans="1:25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Y5" s="159"/>
    </row>
    <row r="6" spans="1:25" x14ac:dyDescent="0.2">
      <c r="M6" s="75"/>
      <c r="N6" s="75"/>
      <c r="R6" s="75"/>
      <c r="S6" s="75"/>
    </row>
    <row r="7" spans="1:25" ht="12.75" hidden="1" customHeight="1" x14ac:dyDescent="0.2">
      <c r="M7" s="75"/>
      <c r="N7" s="75"/>
      <c r="R7" s="75"/>
      <c r="S7" s="75"/>
    </row>
    <row r="8" spans="1:25" ht="12.75" hidden="1" customHeight="1" x14ac:dyDescent="0.2">
      <c r="M8" s="75"/>
      <c r="N8" s="75"/>
      <c r="R8" s="75"/>
      <c r="S8" s="75"/>
    </row>
    <row r="9" spans="1:25" ht="12.75" hidden="1" customHeight="1" x14ac:dyDescent="0.2">
      <c r="M9" s="75"/>
      <c r="N9" s="75"/>
      <c r="R9" s="75"/>
      <c r="S9" s="75"/>
    </row>
    <row r="10" spans="1:25" x14ac:dyDescent="0.2">
      <c r="M10" s="75"/>
      <c r="N10" s="75"/>
      <c r="R10" s="75"/>
      <c r="S10" s="75"/>
    </row>
    <row r="11" spans="1:25" x14ac:dyDescent="0.2">
      <c r="A11" s="113" t="str">
        <f>Translation!$A$29</f>
        <v>alle Vorsorgeeinrichtungen</v>
      </c>
      <c r="E11" s="156"/>
      <c r="O11" s="156"/>
      <c r="T11" s="156"/>
    </row>
    <row r="12" spans="1:25" x14ac:dyDescent="0.2">
      <c r="A12" s="114" t="str">
        <f>Translation!$A346</f>
        <v>nicht definiert</v>
      </c>
      <c r="B12" s="30">
        <v>2</v>
      </c>
      <c r="C12" s="6">
        <v>84197</v>
      </c>
      <c r="D12" s="6">
        <v>0</v>
      </c>
      <c r="E12" s="150">
        <v>6465.558</v>
      </c>
      <c r="F12" s="31">
        <f t="shared" ref="F12:F18" si="0">E12/E$36</f>
        <v>7.1578052107896155E-3</v>
      </c>
      <c r="G12" s="41">
        <v>4</v>
      </c>
      <c r="H12" s="42">
        <v>83166</v>
      </c>
      <c r="I12" s="42">
        <v>1</v>
      </c>
      <c r="J12" s="160">
        <v>6499.1610000000001</v>
      </c>
      <c r="K12" s="44">
        <f t="shared" ref="K12:K18" si="1">J12/J$36</f>
        <v>7.5565915943955038E-3</v>
      </c>
      <c r="L12" s="76">
        <v>4</v>
      </c>
      <c r="M12" s="122">
        <v>155864</v>
      </c>
      <c r="N12" s="122">
        <v>10874</v>
      </c>
      <c r="O12" s="167">
        <v>11841.999</v>
      </c>
      <c r="P12" s="124">
        <f t="shared" ref="P12:P18" si="2">O12/O$36</f>
        <v>1.4384800920399942E-2</v>
      </c>
      <c r="Q12" s="76">
        <v>4</v>
      </c>
      <c r="R12" s="122">
        <v>79367</v>
      </c>
      <c r="S12" s="122">
        <v>1</v>
      </c>
      <c r="T12" s="167">
        <v>11658.12</v>
      </c>
      <c r="U12" s="124">
        <f t="shared" ref="U12:U18" si="3">T12/T$36</f>
        <v>1.4499589919426183E-2</v>
      </c>
    </row>
    <row r="13" spans="1:25" x14ac:dyDescent="0.2">
      <c r="A13" s="114" t="str">
        <f>Translation!$A347</f>
        <v>unter 1.0%</v>
      </c>
      <c r="B13" s="30">
        <v>93</v>
      </c>
      <c r="C13" s="6">
        <v>868116</v>
      </c>
      <c r="D13" s="6">
        <v>1326</v>
      </c>
      <c r="E13" s="150">
        <v>86854.543000000005</v>
      </c>
      <c r="F13" s="31">
        <f t="shared" si="0"/>
        <v>9.6153789118611388E-2</v>
      </c>
      <c r="G13" s="41">
        <v>195</v>
      </c>
      <c r="H13" s="42">
        <v>603906</v>
      </c>
      <c r="I13" s="42">
        <v>9252</v>
      </c>
      <c r="J13" s="160">
        <v>64459.199000000001</v>
      </c>
      <c r="K13" s="44">
        <f t="shared" si="1"/>
        <v>7.4946880273448688E-2</v>
      </c>
      <c r="L13" s="76">
        <v>734</v>
      </c>
      <c r="M13" s="122">
        <v>2105657</v>
      </c>
      <c r="N13" s="122">
        <v>409874</v>
      </c>
      <c r="O13" s="167">
        <v>412479.913</v>
      </c>
      <c r="P13" s="124">
        <f t="shared" si="2"/>
        <v>0.50105066147775279</v>
      </c>
      <c r="Q13" s="76">
        <v>99</v>
      </c>
      <c r="R13" s="122">
        <v>674566</v>
      </c>
      <c r="S13" s="122">
        <v>5137</v>
      </c>
      <c r="T13" s="167">
        <v>60925.245000000003</v>
      </c>
      <c r="U13" s="124">
        <f t="shared" si="3"/>
        <v>7.5774744833692773E-2</v>
      </c>
    </row>
    <row r="14" spans="1:25" x14ac:dyDescent="0.2">
      <c r="A14" s="114" t="str">
        <f>Translation!$A348</f>
        <v>1.0% – 2.9%</v>
      </c>
      <c r="B14" s="30">
        <v>114</v>
      </c>
      <c r="C14" s="6">
        <v>130667</v>
      </c>
      <c r="D14" s="6">
        <v>10833</v>
      </c>
      <c r="E14" s="150">
        <v>13184.011</v>
      </c>
      <c r="F14" s="31">
        <f t="shared" si="0"/>
        <v>1.4595582103649463E-2</v>
      </c>
      <c r="G14" s="41">
        <v>647</v>
      </c>
      <c r="H14" s="42">
        <v>1015129</v>
      </c>
      <c r="I14" s="42">
        <v>140861</v>
      </c>
      <c r="J14" s="160">
        <v>158585.78599999999</v>
      </c>
      <c r="K14" s="44">
        <f t="shared" si="1"/>
        <v>0.18438811063123442</v>
      </c>
      <c r="L14" s="76">
        <v>727</v>
      </c>
      <c r="M14" s="122">
        <v>1629649</v>
      </c>
      <c r="N14" s="122">
        <v>422987</v>
      </c>
      <c r="O14" s="167">
        <v>369265.28100000002</v>
      </c>
      <c r="P14" s="124">
        <f t="shared" si="2"/>
        <v>0.44855666294183466</v>
      </c>
      <c r="Q14" s="76">
        <v>109</v>
      </c>
      <c r="R14" s="122">
        <v>347313</v>
      </c>
      <c r="S14" s="122">
        <v>13709</v>
      </c>
      <c r="T14" s="167">
        <v>37611.595000000001</v>
      </c>
      <c r="U14" s="124">
        <f t="shared" si="3"/>
        <v>4.6778786263611989E-2</v>
      </c>
    </row>
    <row r="15" spans="1:25" x14ac:dyDescent="0.2">
      <c r="A15" s="114" t="str">
        <f>Translation!$A349</f>
        <v>3.0% – 4.9%</v>
      </c>
      <c r="B15" s="30">
        <v>196</v>
      </c>
      <c r="C15" s="6">
        <v>122901</v>
      </c>
      <c r="D15" s="6">
        <v>24461</v>
      </c>
      <c r="E15" s="150">
        <v>21540.752</v>
      </c>
      <c r="F15" s="31">
        <f t="shared" si="0"/>
        <v>2.3847053403577363E-2</v>
      </c>
      <c r="G15" s="41">
        <v>697</v>
      </c>
      <c r="H15" s="42">
        <v>1840330</v>
      </c>
      <c r="I15" s="42">
        <v>516672</v>
      </c>
      <c r="J15" s="160">
        <v>433160.27899999998</v>
      </c>
      <c r="K15" s="44">
        <f t="shared" si="1"/>
        <v>0.50363659606484756</v>
      </c>
      <c r="L15" s="76">
        <v>130</v>
      </c>
      <c r="M15" s="122">
        <v>77388</v>
      </c>
      <c r="N15" s="122">
        <v>25702</v>
      </c>
      <c r="O15" s="167">
        <v>21037.958000000002</v>
      </c>
      <c r="P15" s="124">
        <f t="shared" si="2"/>
        <v>2.5555384492241161E-2</v>
      </c>
      <c r="Q15" s="76">
        <v>216</v>
      </c>
      <c r="R15" s="122">
        <v>130273</v>
      </c>
      <c r="S15" s="122">
        <v>27064</v>
      </c>
      <c r="T15" s="167">
        <v>23814.541999999998</v>
      </c>
      <c r="U15" s="124">
        <f t="shared" si="3"/>
        <v>2.9618934538240421E-2</v>
      </c>
    </row>
    <row r="16" spans="1:25" x14ac:dyDescent="0.2">
      <c r="A16" s="114" t="str">
        <f>Translation!$A350</f>
        <v>5.0% – 6.9%</v>
      </c>
      <c r="B16" s="30">
        <v>410</v>
      </c>
      <c r="C16" s="6">
        <v>787157</v>
      </c>
      <c r="D16" s="6">
        <v>211617</v>
      </c>
      <c r="E16" s="150">
        <v>184243.53999999998</v>
      </c>
      <c r="F16" s="31">
        <f t="shared" si="0"/>
        <v>0.20396992350332716</v>
      </c>
      <c r="G16" s="41">
        <v>107</v>
      </c>
      <c r="H16" s="42">
        <v>457616</v>
      </c>
      <c r="I16" s="42">
        <v>199099</v>
      </c>
      <c r="J16" s="160">
        <v>179316.64899999998</v>
      </c>
      <c r="K16" s="44">
        <f t="shared" si="1"/>
        <v>0.20849193958552015</v>
      </c>
      <c r="L16" s="76">
        <v>84</v>
      </c>
      <c r="M16" s="122">
        <v>22439</v>
      </c>
      <c r="N16" s="122">
        <v>5902</v>
      </c>
      <c r="O16" s="167">
        <v>3984.8009999999999</v>
      </c>
      <c r="P16" s="124">
        <f t="shared" si="2"/>
        <v>4.8404470471928437E-3</v>
      </c>
      <c r="Q16" s="76">
        <v>578</v>
      </c>
      <c r="R16" s="122">
        <v>1061338</v>
      </c>
      <c r="S16" s="122">
        <v>369361</v>
      </c>
      <c r="T16" s="167">
        <v>290358.16399999999</v>
      </c>
      <c r="U16" s="124">
        <f t="shared" si="3"/>
        <v>0.36112806419538435</v>
      </c>
    </row>
    <row r="17" spans="1:21" ht="12.75" customHeight="1" x14ac:dyDescent="0.2">
      <c r="A17" s="110" t="str">
        <f>Translation!$A351</f>
        <v>7.0% – 8.9%</v>
      </c>
      <c r="B17" s="30">
        <v>575</v>
      </c>
      <c r="C17" s="6">
        <v>1433321</v>
      </c>
      <c r="D17" s="6">
        <v>430761</v>
      </c>
      <c r="E17" s="150">
        <v>367546.93400000001</v>
      </c>
      <c r="F17" s="31">
        <f t="shared" si="0"/>
        <v>0.40689904249485459</v>
      </c>
      <c r="G17" s="41">
        <v>22</v>
      </c>
      <c r="H17" s="42">
        <v>48460</v>
      </c>
      <c r="I17" s="42">
        <v>22286</v>
      </c>
      <c r="J17" s="160">
        <v>17658.681</v>
      </c>
      <c r="K17" s="44">
        <f t="shared" si="1"/>
        <v>2.0531794859784454E-2</v>
      </c>
      <c r="L17" s="76">
        <v>42</v>
      </c>
      <c r="M17" s="122">
        <v>44517</v>
      </c>
      <c r="N17" s="122">
        <v>2641</v>
      </c>
      <c r="O17" s="167">
        <v>4227.9049999999997</v>
      </c>
      <c r="P17" s="124">
        <f t="shared" si="2"/>
        <v>5.1357521424688106E-3</v>
      </c>
      <c r="Q17" s="76">
        <v>631</v>
      </c>
      <c r="R17" s="122">
        <v>1481733</v>
      </c>
      <c r="S17" s="122">
        <v>376153</v>
      </c>
      <c r="T17" s="167">
        <v>315819.29599999997</v>
      </c>
      <c r="U17" s="124">
        <f t="shared" si="3"/>
        <v>0.39279491724582294</v>
      </c>
    </row>
    <row r="18" spans="1:21" ht="12.75" customHeight="1" x14ac:dyDescent="0.2">
      <c r="A18" s="110" t="str">
        <f>Translation!$A352</f>
        <v>9.0% oder höher</v>
      </c>
      <c r="B18" s="30">
        <v>264</v>
      </c>
      <c r="C18" s="6">
        <v>749553</v>
      </c>
      <c r="D18" s="6">
        <v>238493</v>
      </c>
      <c r="E18" s="150">
        <v>223452.44500000001</v>
      </c>
      <c r="F18" s="31">
        <f t="shared" si="0"/>
        <v>0.24737680416519039</v>
      </c>
      <c r="G18" s="41">
        <v>10</v>
      </c>
      <c r="H18" s="42">
        <v>1487</v>
      </c>
      <c r="I18" s="42">
        <v>654</v>
      </c>
      <c r="J18" s="160">
        <v>385.38400000000001</v>
      </c>
      <c r="K18" s="44">
        <f t="shared" si="1"/>
        <v>4.4808699076919574E-4</v>
      </c>
      <c r="L18" s="76">
        <v>22</v>
      </c>
      <c r="M18" s="122">
        <v>2641</v>
      </c>
      <c r="N18" s="122">
        <v>621</v>
      </c>
      <c r="O18" s="167">
        <v>392.09700000000004</v>
      </c>
      <c r="P18" s="124">
        <f t="shared" si="2"/>
        <v>4.7629097810986609E-4</v>
      </c>
      <c r="Q18" s="76">
        <v>208</v>
      </c>
      <c r="R18" s="122">
        <v>229447</v>
      </c>
      <c r="S18" s="122">
        <v>77393</v>
      </c>
      <c r="T18" s="167">
        <v>63844.053</v>
      </c>
      <c r="U18" s="124">
        <f t="shared" si="3"/>
        <v>7.9404963003821452E-2</v>
      </c>
    </row>
    <row r="19" spans="1:21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</row>
    <row r="20" spans="1:21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</row>
    <row r="21" spans="1:21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</row>
    <row r="22" spans="1:21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</row>
    <row r="23" spans="1:21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</row>
    <row r="24" spans="1:21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</row>
    <row r="25" spans="1:21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</row>
    <row r="26" spans="1:21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</row>
    <row r="27" spans="1:21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</row>
    <row r="28" spans="1:21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</row>
    <row r="29" spans="1:21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</row>
    <row r="30" spans="1:21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</row>
    <row r="31" spans="1:21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</row>
    <row r="32" spans="1:21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</row>
    <row r="33" spans="1:21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</row>
    <row r="34" spans="1:21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</row>
    <row r="35" spans="1:21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</row>
    <row r="36" spans="1:21" x14ac:dyDescent="0.2">
      <c r="A36" s="115" t="s">
        <v>2</v>
      </c>
      <c r="B36" s="32">
        <f>SUM(B$12:B$35)</f>
        <v>1654</v>
      </c>
      <c r="C36" s="7">
        <f t="shared" ref="C36:E36" si="4">SUM(C$12:C$35)</f>
        <v>4175912</v>
      </c>
      <c r="D36" s="7">
        <f t="shared" si="4"/>
        <v>917491</v>
      </c>
      <c r="E36" s="151">
        <f t="shared" si="4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5">SUM(H$12:H$35)</f>
        <v>4050094</v>
      </c>
      <c r="I36" s="65">
        <f t="shared" si="5"/>
        <v>888825</v>
      </c>
      <c r="J36" s="161">
        <f t="shared" si="5"/>
        <v>860065.13899999997</v>
      </c>
      <c r="K36" s="66">
        <f>SUM(K$12:K$35)</f>
        <v>0.99999999999999989</v>
      </c>
      <c r="L36" s="77">
        <f>SUM(L$12:L$35)</f>
        <v>1743</v>
      </c>
      <c r="M36" s="125">
        <f t="shared" ref="M36:O36" si="6">SUM(M$12:M$35)</f>
        <v>4038155</v>
      </c>
      <c r="N36" s="125">
        <f t="shared" si="6"/>
        <v>878601</v>
      </c>
      <c r="O36" s="168">
        <f t="shared" si="6"/>
        <v>823229.95399999991</v>
      </c>
      <c r="P36" s="127">
        <f>SUM(P$12:P$35)</f>
        <v>1.0000000000000002</v>
      </c>
      <c r="Q36" s="77">
        <f>SUM(Q$12:Q$35)</f>
        <v>1845</v>
      </c>
      <c r="R36" s="125">
        <f t="shared" ref="R36:T36" si="7">SUM(R$12:R$35)</f>
        <v>4004037</v>
      </c>
      <c r="S36" s="125">
        <f t="shared" si="7"/>
        <v>868818</v>
      </c>
      <c r="T36" s="168">
        <f t="shared" si="7"/>
        <v>804031.0149999999</v>
      </c>
      <c r="U36" s="127">
        <f>SUM(U$12:U$35)</f>
        <v>1</v>
      </c>
    </row>
    <row r="39" spans="1:21" ht="12.75" hidden="1" customHeight="1" x14ac:dyDescent="0.2"/>
    <row r="40" spans="1:21" ht="12.75" hidden="1" customHeight="1" x14ac:dyDescent="0.2"/>
    <row r="41" spans="1:21" ht="12.75" hidden="1" customHeight="1" x14ac:dyDescent="0.2"/>
    <row r="42" spans="1:21" ht="12.75" hidden="1" customHeight="1" x14ac:dyDescent="0.2"/>
    <row r="43" spans="1:21" ht="12.75" hidden="1" customHeight="1" x14ac:dyDescent="0.2"/>
    <row r="44" spans="1:21" ht="12.75" hidden="1" customHeight="1" x14ac:dyDescent="0.2"/>
    <row r="45" spans="1:21" ht="12.75" hidden="1" customHeight="1" x14ac:dyDescent="0.2"/>
    <row r="46" spans="1:21" ht="12.75" hidden="1" customHeight="1" x14ac:dyDescent="0.2"/>
    <row r="47" spans="1:21" ht="12.75" hidden="1" customHeight="1" x14ac:dyDescent="0.2"/>
    <row r="48" spans="1:21" ht="12.75" hidden="1" customHeight="1" x14ac:dyDescent="0.2"/>
    <row r="49" spans="1:21" ht="12.75" hidden="1" customHeight="1" x14ac:dyDescent="0.2"/>
    <row r="51" spans="1:21" x14ac:dyDescent="0.2">
      <c r="A51" s="116" t="str">
        <f>Translation!$A$30</f>
        <v>Vorsorgeeinrichtungen ohne Staatsgarantie</v>
      </c>
      <c r="E51" s="156"/>
      <c r="O51" s="156"/>
      <c r="T51" s="156"/>
    </row>
    <row r="52" spans="1:21" x14ac:dyDescent="0.2">
      <c r="A52" s="114" t="str">
        <f>$A$12</f>
        <v>nicht definiert</v>
      </c>
      <c r="B52" s="33">
        <v>2</v>
      </c>
      <c r="C52" s="8">
        <v>84197</v>
      </c>
      <c r="D52" s="8">
        <v>0</v>
      </c>
      <c r="E52" s="152">
        <v>6465.558</v>
      </c>
      <c r="F52" s="34">
        <f t="shared" ref="F52:F58" si="8">E52/E$76</f>
        <v>8.4047129999481884E-3</v>
      </c>
      <c r="G52" s="47">
        <v>4</v>
      </c>
      <c r="H52" s="48">
        <v>83166</v>
      </c>
      <c r="I52" s="48">
        <v>1</v>
      </c>
      <c r="J52" s="162">
        <v>6499.1610000000001</v>
      </c>
      <c r="K52" s="50">
        <f t="shared" ref="K52:K58" si="9">J52/J$76</f>
        <v>8.8690905535867576E-3</v>
      </c>
      <c r="L52" s="128">
        <v>4</v>
      </c>
      <c r="M52" s="129">
        <v>155864</v>
      </c>
      <c r="N52" s="129">
        <v>10874</v>
      </c>
      <c r="O52" s="169">
        <v>11841.999</v>
      </c>
      <c r="P52" s="131">
        <f t="shared" ref="P52:P58" si="10">O52/O$76</f>
        <v>1.6821452714955637E-2</v>
      </c>
      <c r="Q52" s="128">
        <v>4</v>
      </c>
      <c r="R52" s="129">
        <v>79367</v>
      </c>
      <c r="S52" s="129">
        <v>1</v>
      </c>
      <c r="T52" s="169">
        <v>11658.12</v>
      </c>
      <c r="U52" s="131">
        <f t="shared" ref="U52:U58" si="11">T52/T$76</f>
        <v>1.7176376077105749E-2</v>
      </c>
    </row>
    <row r="53" spans="1:21" x14ac:dyDescent="0.2">
      <c r="A53" s="114" t="str">
        <f>$A$13</f>
        <v>unter 1.0%</v>
      </c>
      <c r="B53" s="33">
        <v>92</v>
      </c>
      <c r="C53" s="8">
        <v>868105</v>
      </c>
      <c r="D53" s="8">
        <v>1301</v>
      </c>
      <c r="E53" s="152">
        <v>86794.766000000003</v>
      </c>
      <c r="F53" s="34">
        <f t="shared" si="8"/>
        <v>0.11282631725330761</v>
      </c>
      <c r="G53" s="47">
        <v>194</v>
      </c>
      <c r="H53" s="48">
        <v>603895</v>
      </c>
      <c r="I53" s="48">
        <v>9227</v>
      </c>
      <c r="J53" s="162">
        <v>64400.337</v>
      </c>
      <c r="K53" s="50">
        <f t="shared" si="9"/>
        <v>8.7884023881621601E-2</v>
      </c>
      <c r="L53" s="128">
        <v>725</v>
      </c>
      <c r="M53" s="129">
        <v>2035017</v>
      </c>
      <c r="N53" s="129">
        <v>376686</v>
      </c>
      <c r="O53" s="169">
        <v>383577.52899999998</v>
      </c>
      <c r="P53" s="131">
        <f t="shared" si="10"/>
        <v>0.54486841846490819</v>
      </c>
      <c r="Q53" s="128">
        <v>95</v>
      </c>
      <c r="R53" s="129">
        <v>674217</v>
      </c>
      <c r="S53" s="129">
        <v>4851</v>
      </c>
      <c r="T53" s="169">
        <v>60689.385000000002</v>
      </c>
      <c r="U53" s="131">
        <f t="shared" si="11"/>
        <v>8.9416106597655573E-2</v>
      </c>
    </row>
    <row r="54" spans="1:21" x14ac:dyDescent="0.2">
      <c r="A54" s="114" t="str">
        <f>$A$14</f>
        <v>1.0% – 2.9%</v>
      </c>
      <c r="B54" s="33">
        <v>114</v>
      </c>
      <c r="C54" s="8">
        <v>130667</v>
      </c>
      <c r="D54" s="8">
        <v>10833</v>
      </c>
      <c r="E54" s="152">
        <v>13184.011</v>
      </c>
      <c r="F54" s="34">
        <f t="shared" si="8"/>
        <v>1.7138169457788472E-2</v>
      </c>
      <c r="G54" s="47">
        <v>639</v>
      </c>
      <c r="H54" s="48">
        <v>944172</v>
      </c>
      <c r="I54" s="48">
        <v>113435</v>
      </c>
      <c r="J54" s="162">
        <v>135552.57399999999</v>
      </c>
      <c r="K54" s="50">
        <f t="shared" si="9"/>
        <v>0.18498203900130644</v>
      </c>
      <c r="L54" s="128">
        <v>702</v>
      </c>
      <c r="M54" s="129">
        <v>1405225</v>
      </c>
      <c r="N54" s="129">
        <v>318330</v>
      </c>
      <c r="O54" s="169">
        <v>283026.91700000002</v>
      </c>
      <c r="P54" s="131">
        <f t="shared" si="10"/>
        <v>0.40203718150754558</v>
      </c>
      <c r="Q54" s="128">
        <v>109</v>
      </c>
      <c r="R54" s="129">
        <v>347313</v>
      </c>
      <c r="S54" s="129">
        <v>13709</v>
      </c>
      <c r="T54" s="169">
        <v>37611.595000000001</v>
      </c>
      <c r="U54" s="131">
        <f t="shared" si="11"/>
        <v>5.541467239827607E-2</v>
      </c>
    </row>
    <row r="55" spans="1:21" x14ac:dyDescent="0.2">
      <c r="A55" s="114" t="str">
        <f>$A$15</f>
        <v>3.0% – 4.9%</v>
      </c>
      <c r="B55" s="33">
        <v>193</v>
      </c>
      <c r="C55" s="8">
        <v>121737</v>
      </c>
      <c r="D55" s="8">
        <v>23997</v>
      </c>
      <c r="E55" s="152">
        <v>21286.912</v>
      </c>
      <c r="F55" s="34">
        <f t="shared" si="8"/>
        <v>2.7671298597143987E-2</v>
      </c>
      <c r="G55" s="47">
        <v>670</v>
      </c>
      <c r="H55" s="48">
        <v>1647230</v>
      </c>
      <c r="I55" s="48">
        <v>423826</v>
      </c>
      <c r="J55" s="162">
        <v>354170.924</v>
      </c>
      <c r="K55" s="50">
        <f t="shared" si="9"/>
        <v>0.48331992335679841</v>
      </c>
      <c r="L55" s="128">
        <v>127</v>
      </c>
      <c r="M55" s="129">
        <v>64173</v>
      </c>
      <c r="N55" s="129">
        <v>19735</v>
      </c>
      <c r="O55" s="169">
        <v>16937.187000000002</v>
      </c>
      <c r="P55" s="131">
        <f t="shared" si="10"/>
        <v>2.405912128896999E-2</v>
      </c>
      <c r="Q55" s="128">
        <v>213</v>
      </c>
      <c r="R55" s="129">
        <v>129156</v>
      </c>
      <c r="S55" s="129">
        <v>26611</v>
      </c>
      <c r="T55" s="169">
        <v>23587.045999999998</v>
      </c>
      <c r="U55" s="131">
        <f t="shared" si="11"/>
        <v>3.4751741502402858E-2</v>
      </c>
    </row>
    <row r="56" spans="1:21" x14ac:dyDescent="0.2">
      <c r="A56" s="114" t="str">
        <f>$A$16</f>
        <v>5.0% – 6.9%</v>
      </c>
      <c r="B56" s="33">
        <v>403</v>
      </c>
      <c r="C56" s="8">
        <v>762873</v>
      </c>
      <c r="D56" s="8">
        <v>199772</v>
      </c>
      <c r="E56" s="152">
        <v>173931.97399999999</v>
      </c>
      <c r="F56" s="34">
        <f t="shared" si="8"/>
        <v>0.22609778196784411</v>
      </c>
      <c r="G56" s="47">
        <v>105</v>
      </c>
      <c r="H56" s="48">
        <v>406797</v>
      </c>
      <c r="I56" s="48">
        <v>173673</v>
      </c>
      <c r="J56" s="162">
        <v>157344.45499999999</v>
      </c>
      <c r="K56" s="50">
        <f t="shared" si="9"/>
        <v>0.21472036459779292</v>
      </c>
      <c r="L56" s="128">
        <v>84</v>
      </c>
      <c r="M56" s="129">
        <v>22439</v>
      </c>
      <c r="N56" s="129">
        <v>5902</v>
      </c>
      <c r="O56" s="169">
        <v>3984.8009999999999</v>
      </c>
      <c r="P56" s="131">
        <f t="shared" si="10"/>
        <v>5.6603738608665593E-3</v>
      </c>
      <c r="Q56" s="128">
        <v>562</v>
      </c>
      <c r="R56" s="129">
        <v>928321</v>
      </c>
      <c r="S56" s="129">
        <v>305165</v>
      </c>
      <c r="T56" s="169">
        <v>239208.38699999999</v>
      </c>
      <c r="U56" s="131">
        <f t="shared" si="11"/>
        <v>0.35243531683580659</v>
      </c>
    </row>
    <row r="57" spans="1:21" ht="12.75" customHeight="1" x14ac:dyDescent="0.2">
      <c r="A57" s="114" t="str">
        <f>$A$17</f>
        <v>7.0% – 8.9%</v>
      </c>
      <c r="B57" s="33">
        <v>555</v>
      </c>
      <c r="C57" s="8">
        <v>1229886</v>
      </c>
      <c r="D57" s="8">
        <v>330584</v>
      </c>
      <c r="E57" s="152">
        <v>282441.29599999997</v>
      </c>
      <c r="F57" s="34">
        <f t="shared" si="8"/>
        <v>0.36715130112720573</v>
      </c>
      <c r="G57" s="47">
        <v>21</v>
      </c>
      <c r="H57" s="48">
        <v>41307</v>
      </c>
      <c r="I57" s="48">
        <v>17911</v>
      </c>
      <c r="J57" s="162">
        <v>14434.924999999999</v>
      </c>
      <c r="K57" s="50">
        <f t="shared" si="9"/>
        <v>1.9698643710970281E-2</v>
      </c>
      <c r="L57" s="128">
        <v>42</v>
      </c>
      <c r="M57" s="129">
        <v>44517</v>
      </c>
      <c r="N57" s="129">
        <v>2641</v>
      </c>
      <c r="O57" s="169">
        <v>4227.9049999999997</v>
      </c>
      <c r="P57" s="131">
        <f t="shared" si="10"/>
        <v>6.0057008990479143E-3</v>
      </c>
      <c r="Q57" s="128">
        <v>613</v>
      </c>
      <c r="R57" s="129">
        <v>1292293</v>
      </c>
      <c r="S57" s="129">
        <v>295017</v>
      </c>
      <c r="T57" s="169">
        <v>248385.084</v>
      </c>
      <c r="U57" s="131">
        <f t="shared" si="11"/>
        <v>0.36595571281883371</v>
      </c>
    </row>
    <row r="58" spans="1:21" ht="12.75" customHeight="1" x14ac:dyDescent="0.2">
      <c r="A58" s="114" t="str">
        <f>$A$18</f>
        <v>9.0% oder höher</v>
      </c>
      <c r="B58" s="33">
        <v>257</v>
      </c>
      <c r="C58" s="8">
        <v>652724</v>
      </c>
      <c r="D58" s="8">
        <v>194820</v>
      </c>
      <c r="E58" s="152">
        <v>185173.149</v>
      </c>
      <c r="F58" s="34">
        <f t="shared" si="8"/>
        <v>0.24071041859676193</v>
      </c>
      <c r="G58" s="47">
        <v>10</v>
      </c>
      <c r="H58" s="48">
        <v>1487</v>
      </c>
      <c r="I58" s="48">
        <v>654</v>
      </c>
      <c r="J58" s="162">
        <v>385.38400000000001</v>
      </c>
      <c r="K58" s="50">
        <f t="shared" si="9"/>
        <v>5.2591489792351337E-4</v>
      </c>
      <c r="L58" s="128">
        <v>21</v>
      </c>
      <c r="M58" s="129">
        <v>2577</v>
      </c>
      <c r="N58" s="129">
        <v>599</v>
      </c>
      <c r="O58" s="169">
        <v>385.60700000000003</v>
      </c>
      <c r="P58" s="131">
        <f t="shared" si="10"/>
        <v>5.4775126370605999E-4</v>
      </c>
      <c r="Q58" s="128">
        <v>206</v>
      </c>
      <c r="R58" s="129">
        <v>213990</v>
      </c>
      <c r="S58" s="129">
        <v>69552</v>
      </c>
      <c r="T58" s="169">
        <v>57590.281999999999</v>
      </c>
      <c r="U58" s="131">
        <f t="shared" si="11"/>
        <v>8.4850073769919487E-2</v>
      </c>
    </row>
    <row r="59" spans="1:21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</row>
    <row r="60" spans="1:21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</row>
    <row r="61" spans="1:21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</row>
    <row r="62" spans="1:21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</row>
    <row r="63" spans="1:21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</row>
    <row r="64" spans="1:21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</row>
    <row r="65" spans="1:21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</row>
    <row r="66" spans="1:21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</row>
    <row r="67" spans="1:21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</row>
    <row r="68" spans="1:21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</row>
    <row r="69" spans="1:21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</row>
    <row r="70" spans="1:21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</row>
    <row r="71" spans="1:21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</row>
    <row r="72" spans="1:21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</row>
    <row r="73" spans="1:21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</row>
    <row r="74" spans="1:21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</row>
    <row r="75" spans="1:21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</row>
    <row r="76" spans="1:21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2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3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4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" si="15">SUM(U$52:U$75)</f>
        <v>1</v>
      </c>
    </row>
    <row r="79" spans="1:21" ht="12.75" hidden="1" customHeight="1" x14ac:dyDescent="0.2"/>
    <row r="80" spans="1:21" ht="12.75" hidden="1" customHeight="1" x14ac:dyDescent="0.2"/>
    <row r="81" spans="1:21" ht="12.75" hidden="1" customHeight="1" x14ac:dyDescent="0.2"/>
    <row r="82" spans="1:21" ht="12.75" hidden="1" customHeight="1" x14ac:dyDescent="0.2"/>
    <row r="83" spans="1:21" ht="12.75" hidden="1" customHeight="1" x14ac:dyDescent="0.2"/>
    <row r="84" spans="1:21" ht="12.75" hidden="1" customHeight="1" x14ac:dyDescent="0.2"/>
    <row r="85" spans="1:21" ht="12.75" hidden="1" customHeight="1" x14ac:dyDescent="0.2"/>
    <row r="86" spans="1:21" ht="12.75" hidden="1" customHeight="1" x14ac:dyDescent="0.2"/>
    <row r="87" spans="1:21" ht="12.75" hidden="1" customHeight="1" x14ac:dyDescent="0.2"/>
    <row r="88" spans="1:21" ht="12.75" hidden="1" customHeight="1" x14ac:dyDescent="0.2"/>
    <row r="89" spans="1:21" ht="12.75" hidden="1" customHeight="1" x14ac:dyDescent="0.2"/>
    <row r="91" spans="1:21" x14ac:dyDescent="0.2">
      <c r="A91" s="117" t="str">
        <f>Translation!$A$31</f>
        <v>Vorsorgeeinrichtungen mit Staatsgarantie</v>
      </c>
      <c r="E91" s="156"/>
      <c r="O91" s="156"/>
      <c r="T91" s="156"/>
    </row>
    <row r="92" spans="1:21" x14ac:dyDescent="0.2">
      <c r="A92" s="114" t="str">
        <f>$A$12</f>
        <v>nicht definiert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6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17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18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19">T92/T$116</f>
        <v>0</v>
      </c>
    </row>
    <row r="93" spans="1:21" x14ac:dyDescent="0.2">
      <c r="A93" s="114" t="str">
        <f>$A$13</f>
        <v>unter 1.0%</v>
      </c>
      <c r="B93" s="36">
        <v>1</v>
      </c>
      <c r="C93" s="10">
        <v>11</v>
      </c>
      <c r="D93" s="10">
        <v>25</v>
      </c>
      <c r="E93" s="154">
        <v>59.777000000000001</v>
      </c>
      <c r="F93" s="37">
        <f t="shared" si="16"/>
        <v>4.4606333714341872E-4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17"/>
        <v>4.6247023990021041E-4</v>
      </c>
      <c r="L93" s="136">
        <v>9</v>
      </c>
      <c r="M93" s="137">
        <v>70640</v>
      </c>
      <c r="N93" s="137">
        <v>33188</v>
      </c>
      <c r="O93" s="171">
        <v>28902.383999999998</v>
      </c>
      <c r="P93" s="139">
        <f t="shared" si="18"/>
        <v>0.24237204664775577</v>
      </c>
      <c r="Q93" s="136">
        <v>4</v>
      </c>
      <c r="R93" s="137">
        <v>349</v>
      </c>
      <c r="S93" s="137">
        <v>286</v>
      </c>
      <c r="T93" s="171">
        <v>235.86</v>
      </c>
      <c r="U93" s="139">
        <f t="shared" si="19"/>
        <v>1.882345565062645E-3</v>
      </c>
    </row>
    <row r="94" spans="1:21" x14ac:dyDescent="0.2">
      <c r="A94" s="114" t="str">
        <f>$A$14</f>
        <v>1.0% – 2.9%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6"/>
        <v>0</v>
      </c>
      <c r="G94" s="53">
        <v>8</v>
      </c>
      <c r="H94" s="54">
        <v>70957</v>
      </c>
      <c r="I94" s="54">
        <v>27426</v>
      </c>
      <c r="J94" s="164">
        <v>23033.212</v>
      </c>
      <c r="K94" s="56">
        <f t="shared" si="17"/>
        <v>0.18096862286895457</v>
      </c>
      <c r="L94" s="136">
        <v>25</v>
      </c>
      <c r="M94" s="137">
        <v>224424</v>
      </c>
      <c r="N94" s="137">
        <v>104657</v>
      </c>
      <c r="O94" s="171">
        <v>86238.364000000001</v>
      </c>
      <c r="P94" s="139">
        <f t="shared" si="18"/>
        <v>0.72318493803951067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9"/>
        <v>0</v>
      </c>
    </row>
    <row r="95" spans="1:21" x14ac:dyDescent="0.2">
      <c r="A95" s="114" t="str">
        <f>$A$15</f>
        <v>3.0% – 4.9%</v>
      </c>
      <c r="B95" s="36">
        <v>3</v>
      </c>
      <c r="C95" s="10">
        <v>1164</v>
      </c>
      <c r="D95" s="10">
        <v>464</v>
      </c>
      <c r="E95" s="154">
        <v>253.84</v>
      </c>
      <c r="F95" s="37">
        <f t="shared" si="16"/>
        <v>1.8941853472152401E-3</v>
      </c>
      <c r="G95" s="53">
        <v>27</v>
      </c>
      <c r="H95" s="54">
        <v>193100</v>
      </c>
      <c r="I95" s="54">
        <v>92846</v>
      </c>
      <c r="J95" s="164">
        <v>78989.354999999996</v>
      </c>
      <c r="K95" s="56">
        <f t="shared" si="17"/>
        <v>0.62060796365079141</v>
      </c>
      <c r="L95" s="136">
        <v>3</v>
      </c>
      <c r="M95" s="137">
        <v>13215</v>
      </c>
      <c r="N95" s="137">
        <v>5967</v>
      </c>
      <c r="O95" s="171">
        <v>4100.7709999999997</v>
      </c>
      <c r="P95" s="139">
        <f t="shared" si="18"/>
        <v>3.4388590923979286E-2</v>
      </c>
      <c r="Q95" s="136">
        <v>3</v>
      </c>
      <c r="R95" s="137">
        <v>1117</v>
      </c>
      <c r="S95" s="137">
        <v>453</v>
      </c>
      <c r="T95" s="171">
        <v>227.49600000000001</v>
      </c>
      <c r="U95" s="139">
        <f t="shared" si="19"/>
        <v>1.8155943639001589E-3</v>
      </c>
    </row>
    <row r="96" spans="1:21" x14ac:dyDescent="0.2">
      <c r="A96" s="114" t="str">
        <f>$A$16</f>
        <v>5.0% – 6.9%</v>
      </c>
      <c r="B96" s="36">
        <v>7</v>
      </c>
      <c r="C96" s="10">
        <v>24284</v>
      </c>
      <c r="D96" s="10">
        <v>11845</v>
      </c>
      <c r="E96" s="154">
        <v>10311.566000000001</v>
      </c>
      <c r="F96" s="37">
        <f t="shared" si="16"/>
        <v>7.6946175638366157E-2</v>
      </c>
      <c r="G96" s="53">
        <v>2</v>
      </c>
      <c r="H96" s="54">
        <v>50819</v>
      </c>
      <c r="I96" s="54">
        <v>25426</v>
      </c>
      <c r="J96" s="164">
        <v>21972.194</v>
      </c>
      <c r="K96" s="56">
        <f t="shared" si="17"/>
        <v>0.17263235755349737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8"/>
        <v>0</v>
      </c>
      <c r="Q96" s="136">
        <v>16</v>
      </c>
      <c r="R96" s="137">
        <v>133017</v>
      </c>
      <c r="S96" s="137">
        <v>64196</v>
      </c>
      <c r="T96" s="171">
        <v>51149.777000000002</v>
      </c>
      <c r="U96" s="139">
        <f t="shared" si="19"/>
        <v>0.40821485580383821</v>
      </c>
    </row>
    <row r="97" spans="1:21" ht="12.75" customHeight="1" x14ac:dyDescent="0.2">
      <c r="A97" s="114" t="str">
        <f>$A$17</f>
        <v>7.0% – 8.9%</v>
      </c>
      <c r="B97" s="36">
        <v>20</v>
      </c>
      <c r="C97" s="10">
        <v>203435</v>
      </c>
      <c r="D97" s="10">
        <v>100177</v>
      </c>
      <c r="E97" s="154">
        <v>85105.638000000006</v>
      </c>
      <c r="F97" s="37">
        <f t="shared" si="16"/>
        <v>0.6350687538016252</v>
      </c>
      <c r="G97" s="53">
        <v>1</v>
      </c>
      <c r="H97" s="54">
        <v>7153</v>
      </c>
      <c r="I97" s="54">
        <v>4375</v>
      </c>
      <c r="J97" s="164">
        <v>3223.7559999999999</v>
      </c>
      <c r="K97" s="56">
        <f t="shared" si="17"/>
        <v>2.532858568685642E-2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8"/>
        <v>0</v>
      </c>
      <c r="Q97" s="136">
        <v>18</v>
      </c>
      <c r="R97" s="137">
        <v>189440</v>
      </c>
      <c r="S97" s="137">
        <v>81136</v>
      </c>
      <c r="T97" s="171">
        <v>67434.212</v>
      </c>
      <c r="U97" s="139">
        <f t="shared" si="19"/>
        <v>0.53817726571565416</v>
      </c>
    </row>
    <row r="98" spans="1:21" ht="12.75" customHeight="1" x14ac:dyDescent="0.2">
      <c r="A98" s="114" t="str">
        <f>$A$18</f>
        <v>9.0% oder höher</v>
      </c>
      <c r="B98" s="36">
        <v>7</v>
      </c>
      <c r="C98" s="10">
        <v>96829</v>
      </c>
      <c r="D98" s="10">
        <v>43673</v>
      </c>
      <c r="E98" s="154">
        <v>38279.296000000002</v>
      </c>
      <c r="F98" s="37">
        <f t="shared" si="16"/>
        <v>0.28564482187564982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7"/>
        <v>0</v>
      </c>
      <c r="L98" s="136">
        <v>1</v>
      </c>
      <c r="M98" s="137">
        <v>64</v>
      </c>
      <c r="N98" s="137">
        <v>22</v>
      </c>
      <c r="O98" s="171">
        <v>6.49</v>
      </c>
      <c r="P98" s="139">
        <f t="shared" si="18"/>
        <v>5.4424388754364867E-5</v>
      </c>
      <c r="Q98" s="136">
        <v>2</v>
      </c>
      <c r="R98" s="137">
        <v>15457</v>
      </c>
      <c r="S98" s="137">
        <v>7841</v>
      </c>
      <c r="T98" s="171">
        <v>6253.7709999999997</v>
      </c>
      <c r="U98" s="139">
        <f t="shared" si="19"/>
        <v>4.9909938551544901E-2</v>
      </c>
    </row>
    <row r="99" spans="1:21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</row>
    <row r="100" spans="1:21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</row>
    <row r="101" spans="1:21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</row>
    <row r="102" spans="1:21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</row>
    <row r="103" spans="1:21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</row>
    <row r="104" spans="1:21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</row>
    <row r="105" spans="1:21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</row>
    <row r="106" spans="1:21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</row>
    <row r="107" spans="1:21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</row>
    <row r="108" spans="1:21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</row>
    <row r="109" spans="1:21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</row>
    <row r="110" spans="1:21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</row>
    <row r="111" spans="1:21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</row>
    <row r="112" spans="1:21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</row>
    <row r="113" spans="1:21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</row>
    <row r="114" spans="1:21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</row>
    <row r="115" spans="1:21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</row>
    <row r="116" spans="1:21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134010.11700000003</v>
      </c>
      <c r="F116" s="70">
        <f t="shared" ref="F116" si="20">SUM(F$92:F$115)</f>
        <v>0.99999999999999978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1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2">SUM(P$92:P$115)</f>
        <v>1.0000000000000002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" si="23">SUM(U$92:U$115)</f>
        <v>1</v>
      </c>
    </row>
    <row r="120" spans="1:21" x14ac:dyDescent="0.2">
      <c r="A120" s="110" t="str">
        <f>Translation!$A$37</f>
        <v>Vorsorgekapital in Mio. CHF</v>
      </c>
    </row>
  </sheetData>
  <mergeCells count="4">
    <mergeCell ref="B3:F3"/>
    <mergeCell ref="G3:K3"/>
    <mergeCell ref="L3:P3"/>
    <mergeCell ref="Q3:U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51" orientation="landscape" cellComments="atEnd" r:id="rId1"/>
  <headerFooter>
    <oddFooter>&amp;L&amp;10&amp;F / &amp;A&amp;C&amp;10&amp;H&amp;P / &amp;N&amp;R&amp;10OAK BV - RM / 10.05.2016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6">
    <pageSetUpPr fitToPage="1"/>
  </sheetPr>
  <dimension ref="A1:I45"/>
  <sheetViews>
    <sheetView tabSelected="1" workbookViewId="0"/>
  </sheetViews>
  <sheetFormatPr baseColWidth="10" defaultRowHeight="14.25" x14ac:dyDescent="0.2"/>
  <sheetData>
    <row r="1" spans="1:9" ht="18" x14ac:dyDescent="0.25">
      <c r="A1" s="120" t="str">
        <f>Translation!$A$12</f>
        <v>Datenauswertungen zum Bericht zur finanziellen Lage der Vorsorgeeinrichtungen 2017</v>
      </c>
    </row>
    <row r="3" spans="1:9" x14ac:dyDescent="0.2">
      <c r="A3" t="str">
        <f>Translation!$A$13</f>
        <v>für weitere Informationen siehe</v>
      </c>
    </row>
    <row r="4" spans="1:9" x14ac:dyDescent="0.2">
      <c r="A4" t="str">
        <f>Translation!$A$14</f>
        <v>http://www.oak-bv.admin.ch/de/themen/erhebung-finanzielle-lage/index.html</v>
      </c>
    </row>
    <row r="5" spans="1:9" ht="15" thickBot="1" x14ac:dyDescent="0.25"/>
    <row r="6" spans="1:9" x14ac:dyDescent="0.2">
      <c r="B6" s="78"/>
      <c r="C6" s="79"/>
      <c r="D6" s="79"/>
      <c r="E6" s="79"/>
      <c r="F6" s="79"/>
      <c r="G6" s="79"/>
      <c r="H6" s="79"/>
      <c r="I6" s="80"/>
    </row>
    <row r="7" spans="1:9" x14ac:dyDescent="0.2">
      <c r="B7" s="81"/>
      <c r="C7" s="82" t="s">
        <v>171</v>
      </c>
      <c r="D7" s="82"/>
      <c r="E7" s="82"/>
      <c r="F7" s="82"/>
      <c r="G7" s="82"/>
      <c r="H7" s="82"/>
      <c r="I7" s="83"/>
    </row>
    <row r="8" spans="1:9" x14ac:dyDescent="0.2">
      <c r="B8" s="81"/>
      <c r="C8" s="82" t="s">
        <v>172</v>
      </c>
      <c r="D8" s="82"/>
      <c r="E8" s="82"/>
      <c r="F8" s="82"/>
      <c r="G8" s="82"/>
      <c r="H8" s="82"/>
      <c r="I8" s="83"/>
    </row>
    <row r="9" spans="1:9" ht="15" thickBot="1" x14ac:dyDescent="0.25">
      <c r="B9" s="84"/>
      <c r="C9" s="85"/>
      <c r="D9" s="85"/>
      <c r="E9" s="85"/>
      <c r="F9" s="85"/>
      <c r="G9" s="85"/>
      <c r="H9" s="85"/>
      <c r="I9" s="86"/>
    </row>
    <row r="12" spans="1:9" x14ac:dyDescent="0.2">
      <c r="B12" t="str">
        <f>Translation!$A$24&amp;" 9"</f>
        <v>Abbildung 9</v>
      </c>
      <c r="D12" s="97" t="str">
        <f>'9'!$A$1</f>
        <v>Biometrische Grundlagen</v>
      </c>
    </row>
    <row r="13" spans="1:9" x14ac:dyDescent="0.2">
      <c r="B13" t="str">
        <f>Translation!$A$24&amp;" 10"</f>
        <v>Abbildung 10</v>
      </c>
      <c r="D13" s="97" t="str">
        <f>'10'!$A$1</f>
        <v>Perioden- und Generationentafeln</v>
      </c>
    </row>
    <row r="14" spans="1:9" x14ac:dyDescent="0.2">
      <c r="B14" t="str">
        <f>Translation!$A$24&amp;" 11"</f>
        <v>Abbildung 11</v>
      </c>
      <c r="D14" s="97" t="str">
        <f>'11'!$A$1</f>
        <v>Technischer Zinssatz</v>
      </c>
    </row>
    <row r="15" spans="1:9" x14ac:dyDescent="0.2">
      <c r="B15" t="str">
        <f>Translation!$A$24&amp;" 12"</f>
        <v>Abbildung 12</v>
      </c>
      <c r="D15" s="97" t="str">
        <f>'12'!$A$1</f>
        <v>Deckungsgrad mit individuellen Grundlagen</v>
      </c>
    </row>
    <row r="16" spans="1:9" x14ac:dyDescent="0.2">
      <c r="B16" t="str">
        <f>Translation!$A$24&amp;" 13"</f>
        <v>Abbildung 13</v>
      </c>
      <c r="D16" s="97" t="str">
        <f>'13'!$A$1</f>
        <v>Deckungsgrad mit einheitlichen Grundlagen</v>
      </c>
    </row>
    <row r="17" spans="2:4" x14ac:dyDescent="0.2">
      <c r="B17" t="str">
        <f>Translation!$A$24&amp;" 14"</f>
        <v>Abbildung 14</v>
      </c>
      <c r="D17" s="97" t="str">
        <f>'14'!$A$1</f>
        <v>Beitrags- und Leistungsprimat für Altersleistungen</v>
      </c>
    </row>
    <row r="18" spans="2:4" x14ac:dyDescent="0.2">
      <c r="B18" t="str">
        <f>Translation!$A$24&amp;" 15"</f>
        <v>Abbildung 15</v>
      </c>
      <c r="D18" s="97" t="str">
        <f>'15'!$A$1</f>
        <v>Zinsversprechen für zukünftige Rentenleistungen</v>
      </c>
    </row>
    <row r="19" spans="2:4" x14ac:dyDescent="0.2">
      <c r="B19" t="str">
        <f>Translation!$A$24&amp;" 16"</f>
        <v>Abbildung 16</v>
      </c>
      <c r="D19" s="97" t="str">
        <f>'16'!$A$1</f>
        <v>Erhöhung Deckungsgrad pro Jahr bei einem Sanierungsbeitrag von 1%</v>
      </c>
    </row>
    <row r="20" spans="2:4" x14ac:dyDescent="0.2">
      <c r="B20" t="str">
        <f>Translation!$A$24&amp;" 17"</f>
        <v>Abbildung 17</v>
      </c>
      <c r="D20" s="97" t="str">
        <f>'17'!$A$1</f>
        <v>Anteil der BVG-Altersguthaben</v>
      </c>
    </row>
    <row r="21" spans="2:4" x14ac:dyDescent="0.2">
      <c r="B21" t="str">
        <f>Translation!$A$24&amp;" 18"</f>
        <v>Abbildung 18</v>
      </c>
      <c r="D21" s="97" t="str">
        <f>'17'!$A$1</f>
        <v>Anteil der BVG-Altersguthaben</v>
      </c>
    </row>
    <row r="22" spans="2:4" x14ac:dyDescent="0.2">
      <c r="B22" t="str">
        <f>Translation!$A$24&amp;" 19"</f>
        <v>Abbildung 19</v>
      </c>
      <c r="D22" s="97" t="str">
        <f>'19'!$A$1</f>
        <v>Erhöhung Deckungsgrad pro Jahr bei einer Minderverzinsung von 1%</v>
      </c>
    </row>
    <row r="23" spans="2:4" x14ac:dyDescent="0.2">
      <c r="B23" t="str">
        <f>Translation!$A$24&amp;" 20"</f>
        <v>Abbildung 20</v>
      </c>
      <c r="D23" s="97" t="str">
        <f>'20'!$A$1</f>
        <v>Aufteilung der Gesamt-Anlagestrategie in Hauptkategorien</v>
      </c>
    </row>
    <row r="24" spans="2:4" x14ac:dyDescent="0.2">
      <c r="B24" t="str">
        <f>Translation!$A$24&amp;" 21"</f>
        <v>Abbildung 21</v>
      </c>
      <c r="D24" s="97" t="str">
        <f>'21'!$A$1</f>
        <v>Sachwertanteile der Anlagestrategien</v>
      </c>
    </row>
    <row r="25" spans="2:4" x14ac:dyDescent="0.2">
      <c r="B25" t="str">
        <f>Translation!$A$24&amp;" 23"</f>
        <v>Abbildung 23</v>
      </c>
      <c r="D25" s="97" t="str">
        <f>'23'!$A$1</f>
        <v>Fremdwährungsexposure</v>
      </c>
    </row>
    <row r="26" spans="2:4" x14ac:dyDescent="0.2">
      <c r="B26" t="str">
        <f>Translation!$A$24&amp;" 24"</f>
        <v>Abbildung 24</v>
      </c>
      <c r="D26" s="97" t="str">
        <f>'24'!$A$1</f>
        <v>Geschätzte Volatilität</v>
      </c>
    </row>
    <row r="27" spans="2:4" x14ac:dyDescent="0.2">
      <c r="B27" t="str">
        <f>Translation!$A$24&amp;" 25"</f>
        <v>Abbildung 25</v>
      </c>
      <c r="D27" s="97" t="str">
        <f>'25'!$A$1</f>
        <v>Ziel-Wertschwankungsreserven</v>
      </c>
    </row>
    <row r="28" spans="2:4" x14ac:dyDescent="0.2">
      <c r="B28" t="str">
        <f>Translation!$A$24&amp;" 26"</f>
        <v>Abbildung 26</v>
      </c>
      <c r="D28" s="97" t="str">
        <f>'26'!$A$1</f>
        <v>Verzinsung der Altersguthaben</v>
      </c>
    </row>
    <row r="29" spans="2:4" x14ac:dyDescent="0.2">
      <c r="B29" t="str">
        <f>Translation!$A$24&amp;" 27"</f>
        <v>Abbildung 27</v>
      </c>
      <c r="D29" s="97" t="str">
        <f>'27'!$A$1</f>
        <v>Nettorendite</v>
      </c>
    </row>
    <row r="30" spans="2:4" x14ac:dyDescent="0.2">
      <c r="B30" t="str">
        <f>Translation!$A$24&amp;" 28"</f>
        <v>Abbildung 28</v>
      </c>
      <c r="D30" s="97" t="str">
        <f>'28'!$A$1</f>
        <v>Risikodimension Deckungsgrad</v>
      </c>
    </row>
    <row r="31" spans="2:4" x14ac:dyDescent="0.2">
      <c r="B31" t="str">
        <f>Translation!$A$24&amp;" 29"</f>
        <v>Abbildung 29</v>
      </c>
      <c r="D31" s="97" t="str">
        <f>'29'!$A$1</f>
        <v>Risikodimension Zinsversprechen</v>
      </c>
    </row>
    <row r="32" spans="2:4" x14ac:dyDescent="0.2">
      <c r="B32" t="str">
        <f>Translation!$A$24&amp;" 30"</f>
        <v>Abbildung 30</v>
      </c>
      <c r="D32" s="97" t="str">
        <f>'30'!$A$1</f>
        <v>Risikodimension Sanierungsfähigkeit</v>
      </c>
    </row>
    <row r="33" spans="2:4" x14ac:dyDescent="0.2">
      <c r="B33" t="str">
        <f>Translation!$A$24&amp;" 31"</f>
        <v>Abbildung 31</v>
      </c>
      <c r="D33" s="97" t="str">
        <f>'31'!$A$1</f>
        <v>Risikodimension Anlagestrategie</v>
      </c>
    </row>
    <row r="34" spans="2:4" x14ac:dyDescent="0.2">
      <c r="B34" t="str">
        <f>Translation!$A$24&amp;" 32"</f>
        <v>Abbildung 32</v>
      </c>
      <c r="D34" s="97" t="str">
        <f>'32'!$A$1</f>
        <v>Gesamt-Risiko</v>
      </c>
    </row>
    <row r="35" spans="2:4" x14ac:dyDescent="0.2">
      <c r="B35" t="str">
        <f>Translation!$A$24&amp;" 34"</f>
        <v>Abbildung 34</v>
      </c>
      <c r="D35" s="97" t="str">
        <f>'11'!$A$1</f>
        <v>Technischer Zinssatz</v>
      </c>
    </row>
    <row r="36" spans="2:4" x14ac:dyDescent="0.2">
      <c r="B36" t="str">
        <f>Translation!$A$24&amp;" 35"</f>
        <v>Abbildung 35</v>
      </c>
      <c r="D36" s="97" t="str">
        <f>'35'!$A$1</f>
        <v>Abweichung vom Zieldeckungsgrad (nur bei Teilkapitalisierung)</v>
      </c>
    </row>
    <row r="37" spans="2:4" x14ac:dyDescent="0.2">
      <c r="B37" t="str">
        <f>Translation!$A$24&amp;" 36"</f>
        <v>Abbildung 36</v>
      </c>
      <c r="D37" s="97" t="str">
        <f>'13'!$A$1</f>
        <v>Deckungsgrad mit einheitlichen Grundlagen</v>
      </c>
    </row>
    <row r="38" spans="2:4" x14ac:dyDescent="0.2">
      <c r="B38" t="str">
        <f>Translation!$A$24&amp;" 37"</f>
        <v>Abbildung 37</v>
      </c>
      <c r="D38" s="97" t="str">
        <f>'15'!$A$1</f>
        <v>Zinsversprechen für zukünftige Rentenleistungen</v>
      </c>
    </row>
    <row r="39" spans="2:4" x14ac:dyDescent="0.2">
      <c r="B39" t="str">
        <f>Translation!$A$24&amp;" 38"</f>
        <v>Abbildung 38</v>
      </c>
      <c r="D39" s="97" t="str">
        <f>'25'!$A$1</f>
        <v>Ziel-Wertschwankungsreserven</v>
      </c>
    </row>
    <row r="40" spans="2:4" x14ac:dyDescent="0.2">
      <c r="B40" t="str">
        <f>Translation!$A$24&amp;" 39"</f>
        <v>Abbildung 39</v>
      </c>
      <c r="D40" s="97" t="str">
        <f>'32'!$A$1</f>
        <v>Gesamt-Risiko</v>
      </c>
    </row>
    <row r="41" spans="2:4" x14ac:dyDescent="0.2">
      <c r="B41" t="str">
        <f>Translation!$A$24&amp;" 40"</f>
        <v>Abbildung 40</v>
      </c>
      <c r="D41" s="97" t="str">
        <f>'40'!$A$1</f>
        <v>Rechtsform</v>
      </c>
    </row>
    <row r="42" spans="2:4" x14ac:dyDescent="0.2">
      <c r="B42" t="str">
        <f>Translation!$A$24&amp;" 41"</f>
        <v>Abbildung 41</v>
      </c>
      <c r="D42" s="97" t="str">
        <f>'41'!$A$1</f>
        <v>Arbeitgeber und Garantieform</v>
      </c>
    </row>
    <row r="43" spans="2:4" x14ac:dyDescent="0.2">
      <c r="B43" t="str">
        <f>Translation!$A$24&amp;" 42"</f>
        <v>Abbildung 42</v>
      </c>
      <c r="D43" s="97" t="str">
        <f>'42'!$A$1</f>
        <v>Versicherungsdeckung</v>
      </c>
    </row>
    <row r="44" spans="2:4" x14ac:dyDescent="0.2">
      <c r="B44" t="str">
        <f>Translation!$A$24&amp;" 43"</f>
        <v>Abbildung 43</v>
      </c>
      <c r="D44" s="97" t="str">
        <f>'43'!$A$1</f>
        <v>Verwaltungsform</v>
      </c>
    </row>
    <row r="45" spans="2:4" x14ac:dyDescent="0.2">
      <c r="B45" s="4" t="str">
        <f>Translation!$A$27&amp;" 1"</f>
        <v>Bonus 1</v>
      </c>
      <c r="D45" s="97" t="str">
        <f>'B 1'!$A$1</f>
        <v>Registrierung und Umfang der Leistungen</v>
      </c>
    </row>
  </sheetData>
  <hyperlinks>
    <hyperlink ref="D34" location="'32'!A1" display="'32'!A1"/>
    <hyperlink ref="D30" location="'28'!A1" display="'28'!A1"/>
    <hyperlink ref="D31" location="'29'!A1" display="'29'!A1"/>
    <hyperlink ref="D32" location="'30'!A1" display="'30'!A1"/>
    <hyperlink ref="D33" location="'31'!A1" display="'31'!A1"/>
    <hyperlink ref="D23" location="'20'!A1" display="'20'!A1"/>
    <hyperlink ref="D28" location="'26'!A1" display="'26'!A1"/>
    <hyperlink ref="D14" location="'11'!A1" display="'11'!A1"/>
    <hyperlink ref="D18" location="'15'!A1" display="'15'!A1"/>
    <hyperlink ref="D12" location="'9'!A1" display="'9'!A1"/>
    <hyperlink ref="D13" location="'10'!A1" display="'10'!A1"/>
    <hyperlink ref="D15" location="'12'!A1" display="'12'!A1"/>
    <hyperlink ref="D16" location="'13'!A1" display="'13'!A1"/>
    <hyperlink ref="D17" location="'14'!A1" display="'14'!A1"/>
    <hyperlink ref="D19" location="'16'!A1" display="'16'!A1"/>
    <hyperlink ref="D20" location="'17'!A1" display="'17'!A1"/>
    <hyperlink ref="D22" location="'19'!A1" display="'19'!A1"/>
    <hyperlink ref="D24" location="'21'!A1" display="'21'!A1"/>
    <hyperlink ref="D25" location="'23'!A1" display="'23'!A1"/>
    <hyperlink ref="D26" location="'24'!A1" display="'24'!A1"/>
    <hyperlink ref="D27" location="'25'!A1" display="'25'!A1"/>
    <hyperlink ref="D41" location="'40'!A1" display="'40'!A1"/>
    <hyperlink ref="D42" location="'41'!A1" display="'41'!A1"/>
    <hyperlink ref="D43" location="'42'!A1" display="'42'!A1"/>
    <hyperlink ref="D45" location="'B 1'!A1" display="'B 1'!A1"/>
    <hyperlink ref="D44" location="'43'!A1" display="'43'!A1"/>
    <hyperlink ref="D21:D29" location="'21'!A1" display="'21'!A1"/>
    <hyperlink ref="D35" location="'11'!A1" display="'11'!A1"/>
    <hyperlink ref="D37" location="'13'!A1" display="'13'!A1"/>
    <hyperlink ref="D38" location="'15'!A1" display="'15'!A1"/>
    <hyperlink ref="D39" location="'25'!A1" display="'25'!A1"/>
    <hyperlink ref="D40" location="'32'!A1" display="'32'!A1"/>
    <hyperlink ref="D36" location="'35'!A1" display="'35'!A1"/>
    <hyperlink ref="D21" location="'17'!A1" display="'17'!A1"/>
    <hyperlink ref="D29" location="'27'!A1" display="'27'!A1"/>
  </hyperlinks>
  <pageMargins left="0.70866141732283472" right="0.70866141732283472" top="0.78740157480314965" bottom="0.78740157480314965" header="0.31496062992125984" footer="0.31496062992125984"/>
  <pageSetup paperSize="9" scale="79" orientation="landscape" cellComments="atEnd" r:id="rId1"/>
  <headerFooter>
    <oddFooter>&amp;L&amp;10&amp;F / &amp;A&amp;C&amp;10&amp;H&amp;P / &amp;N&amp;R&amp;10OAK BV - RM / 10.05.2016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945" r:id="rId4" name="List Box 1">
              <controlPr defaultSize="0" autoLine="0" autoPict="0">
                <anchor moveWithCells="1">
                  <from>
                    <xdr:col>6</xdr:col>
                    <xdr:colOff>9525</xdr:colOff>
                    <xdr:row>6</xdr:row>
                    <xdr:rowOff>47625</xdr:rowOff>
                  </from>
                  <to>
                    <xdr:col>8</xdr:col>
                    <xdr:colOff>257175</xdr:colOff>
                    <xdr:row>7</xdr:row>
                    <xdr:rowOff>152400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7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Translation!$A$51</f>
        <v>Risikodimension Deckungsgrad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Risikostufe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klein</v>
      </c>
      <c r="B12" s="30">
        <v>550</v>
      </c>
      <c r="C12" s="6">
        <v>321133</v>
      </c>
      <c r="D12" s="6">
        <v>118839</v>
      </c>
      <c r="E12" s="150">
        <v>94754.337</v>
      </c>
      <c r="F12" s="31">
        <f>E12/E$36</f>
        <v>0.10489938952268549</v>
      </c>
      <c r="G12" s="41">
        <v>412</v>
      </c>
      <c r="H12" s="42">
        <v>166328</v>
      </c>
      <c r="I12" s="42">
        <v>61297</v>
      </c>
      <c r="J12" s="160">
        <v>52217.887000000002</v>
      </c>
      <c r="K12" s="44">
        <f>J12/J$36</f>
        <v>6.0713874603397916E-2</v>
      </c>
      <c r="L12" s="76">
        <v>425</v>
      </c>
      <c r="M12" s="122">
        <v>179437</v>
      </c>
      <c r="N12" s="122">
        <v>64417</v>
      </c>
      <c r="O12" s="167">
        <v>56404.909999999996</v>
      </c>
      <c r="P12" s="124">
        <f>O12/O$36</f>
        <v>6.8516590930557897E-2</v>
      </c>
      <c r="Q12" s="76">
        <v>544</v>
      </c>
      <c r="R12" s="122">
        <v>371192</v>
      </c>
      <c r="S12" s="122">
        <v>146988</v>
      </c>
      <c r="T12" s="167">
        <v>120038.01699999999</v>
      </c>
      <c r="U12" s="124">
        <f>T12/T$36</f>
        <v>0.149295256974633</v>
      </c>
      <c r="V12" s="76">
        <v>410</v>
      </c>
      <c r="W12" s="122">
        <v>192204</v>
      </c>
      <c r="X12" s="122">
        <v>85001</v>
      </c>
      <c r="Y12" s="167">
        <v>57980.853999999999</v>
      </c>
      <c r="Z12" s="124">
        <f>Y12/Y$36</f>
        <v>7.7779164179678312E-2</v>
      </c>
    </row>
    <row r="13" spans="1:26" x14ac:dyDescent="0.2">
      <c r="A13" s="114" t="str">
        <f>Translation!$A57</f>
        <v>2 – eher klein</v>
      </c>
      <c r="B13" s="30">
        <v>529</v>
      </c>
      <c r="C13" s="6">
        <v>1303289</v>
      </c>
      <c r="D13" s="6">
        <v>290657</v>
      </c>
      <c r="E13" s="150">
        <v>278768.62699999998</v>
      </c>
      <c r="F13" s="31">
        <f>E13/E$36</f>
        <v>0.30861551794064285</v>
      </c>
      <c r="G13" s="41">
        <v>484</v>
      </c>
      <c r="H13" s="42">
        <v>928703</v>
      </c>
      <c r="I13" s="42">
        <v>234274</v>
      </c>
      <c r="J13" s="160">
        <v>200396.20299999998</v>
      </c>
      <c r="K13" s="44">
        <f>J13/J$36</f>
        <v>0.23300119248293349</v>
      </c>
      <c r="L13" s="76">
        <v>465</v>
      </c>
      <c r="M13" s="122">
        <v>846708</v>
      </c>
      <c r="N13" s="122">
        <v>208813</v>
      </c>
      <c r="O13" s="167">
        <v>176197.95800000001</v>
      </c>
      <c r="P13" s="124">
        <f>O13/O$36</f>
        <v>0.21403249133959479</v>
      </c>
      <c r="Q13" s="76">
        <v>558</v>
      </c>
      <c r="R13" s="122">
        <v>1074802</v>
      </c>
      <c r="S13" s="122">
        <v>223668</v>
      </c>
      <c r="T13" s="167">
        <v>190133.94099999999</v>
      </c>
      <c r="U13" s="124">
        <f>T13/T$36</f>
        <v>0.23647587898086245</v>
      </c>
      <c r="V13" s="76">
        <v>525</v>
      </c>
      <c r="W13" s="122">
        <v>750302</v>
      </c>
      <c r="X13" s="122">
        <v>153627</v>
      </c>
      <c r="Y13" s="167">
        <v>130972.929</v>
      </c>
      <c r="Z13" s="124">
        <f>Y13/Y$36</f>
        <v>0.17569532431834051</v>
      </c>
    </row>
    <row r="14" spans="1:26" x14ac:dyDescent="0.2">
      <c r="A14" s="114" t="str">
        <f>Translation!$A58</f>
        <v>3 – mittel</v>
      </c>
      <c r="B14" s="30">
        <v>468</v>
      </c>
      <c r="C14" s="6">
        <v>2246861</v>
      </c>
      <c r="D14" s="6">
        <v>370400</v>
      </c>
      <c r="E14" s="150">
        <v>415005.18900000001</v>
      </c>
      <c r="F14" s="31">
        <f>E14/E$36</f>
        <v>0.45943850543586956</v>
      </c>
      <c r="G14" s="41">
        <v>585</v>
      </c>
      <c r="H14" s="42">
        <v>2185847</v>
      </c>
      <c r="I14" s="42">
        <v>287651</v>
      </c>
      <c r="J14" s="160">
        <v>364596.44699999999</v>
      </c>
      <c r="K14" s="44">
        <f>J14/J$36</f>
        <v>0.42391724820275495</v>
      </c>
      <c r="L14" s="76">
        <v>609</v>
      </c>
      <c r="M14" s="122">
        <v>2178495</v>
      </c>
      <c r="N14" s="122">
        <v>283698</v>
      </c>
      <c r="O14" s="167">
        <v>338297.75</v>
      </c>
      <c r="P14" s="124">
        <f>O14/O$36</f>
        <v>0.41093955383455349</v>
      </c>
      <c r="Q14" s="76">
        <v>578</v>
      </c>
      <c r="R14" s="122">
        <v>2065024</v>
      </c>
      <c r="S14" s="122">
        <v>311488</v>
      </c>
      <c r="T14" s="167">
        <v>348573.60100000002</v>
      </c>
      <c r="U14" s="124">
        <f>T14/T$36</f>
        <v>0.43353253108028428</v>
      </c>
      <c r="V14" s="76">
        <v>701</v>
      </c>
      <c r="W14" s="122">
        <v>2230213</v>
      </c>
      <c r="X14" s="122">
        <v>379907</v>
      </c>
      <c r="Y14" s="167">
        <v>282005.76699999999</v>
      </c>
      <c r="Z14" s="124">
        <f>Y14/Y$36</f>
        <v>0.37830027220897966</v>
      </c>
    </row>
    <row r="15" spans="1:26" x14ac:dyDescent="0.2">
      <c r="A15" s="114" t="str">
        <f>Translation!$A59</f>
        <v>4 – eher hoch</v>
      </c>
      <c r="B15" s="30">
        <v>74</v>
      </c>
      <c r="C15" s="6">
        <v>132415</v>
      </c>
      <c r="D15" s="6">
        <v>54690</v>
      </c>
      <c r="E15" s="150">
        <v>44751.315999999999</v>
      </c>
      <c r="F15" s="31">
        <f>E15/E$36</f>
        <v>4.954270039097828E-2</v>
      </c>
      <c r="G15" s="41">
        <v>155</v>
      </c>
      <c r="H15" s="42">
        <v>578167</v>
      </c>
      <c r="I15" s="42">
        <v>216310</v>
      </c>
      <c r="J15" s="160">
        <v>170719.361</v>
      </c>
      <c r="K15" s="44">
        <f>J15/J$36</f>
        <v>0.19849585020792243</v>
      </c>
      <c r="L15" s="76">
        <v>194</v>
      </c>
      <c r="M15" s="122">
        <v>669735</v>
      </c>
      <c r="N15" s="122">
        <v>244868</v>
      </c>
      <c r="O15" s="167">
        <v>190591.47999999998</v>
      </c>
      <c r="P15" s="124">
        <f>O15/O$36</f>
        <v>0.23151669721677787</v>
      </c>
      <c r="Q15" s="76">
        <v>105</v>
      </c>
      <c r="R15" s="122">
        <v>334225</v>
      </c>
      <c r="S15" s="122">
        <v>115739</v>
      </c>
      <c r="T15" s="167">
        <v>92549.193999999989</v>
      </c>
      <c r="U15" s="124">
        <f>T15/T$36</f>
        <v>0.11510649747758796</v>
      </c>
      <c r="V15" s="76">
        <v>210</v>
      </c>
      <c r="W15" s="122">
        <v>549510</v>
      </c>
      <c r="X15" s="122">
        <v>231194</v>
      </c>
      <c r="Y15" s="167">
        <v>206184.693</v>
      </c>
      <c r="Z15" s="124">
        <f>Y15/Y$36</f>
        <v>0.27658911488581334</v>
      </c>
    </row>
    <row r="16" spans="1:26" x14ac:dyDescent="0.2">
      <c r="A16" s="114" t="str">
        <f>Translation!$A60</f>
        <v>5 – hoch</v>
      </c>
      <c r="B16" s="30">
        <v>33</v>
      </c>
      <c r="C16" s="6">
        <v>172214</v>
      </c>
      <c r="D16" s="6">
        <v>82905</v>
      </c>
      <c r="E16" s="150">
        <v>70008.313999999998</v>
      </c>
      <c r="F16" s="31">
        <f>E16/E$36</f>
        <v>7.7503886709823916E-2</v>
      </c>
      <c r="G16" s="41">
        <v>46</v>
      </c>
      <c r="H16" s="42">
        <v>191049</v>
      </c>
      <c r="I16" s="42">
        <v>89293</v>
      </c>
      <c r="J16" s="160">
        <v>72135.241000000009</v>
      </c>
      <c r="K16" s="44">
        <f>J16/J$36</f>
        <v>8.3871834502991058E-2</v>
      </c>
      <c r="L16" s="76">
        <v>50</v>
      </c>
      <c r="M16" s="122">
        <v>163780</v>
      </c>
      <c r="N16" s="122">
        <v>76805</v>
      </c>
      <c r="O16" s="167">
        <v>61737.856</v>
      </c>
      <c r="P16" s="124">
        <f>O16/O$36</f>
        <v>7.4994666678515925E-2</v>
      </c>
      <c r="Q16" s="76">
        <v>60</v>
      </c>
      <c r="R16" s="122">
        <v>158794</v>
      </c>
      <c r="S16" s="122">
        <v>70935</v>
      </c>
      <c r="T16" s="167">
        <v>52736.262000000002</v>
      </c>
      <c r="U16" s="124">
        <f>T16/T$36</f>
        <v>6.5589835486632317E-2</v>
      </c>
      <c r="V16" s="76">
        <v>59</v>
      </c>
      <c r="W16" s="122">
        <v>210519</v>
      </c>
      <c r="X16" s="122">
        <v>93603</v>
      </c>
      <c r="Y16" s="167">
        <v>68310.592000000004</v>
      </c>
      <c r="Z16" s="124">
        <f>Y16/Y$36</f>
        <v>9.1636124407188269E-2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klein</v>
      </c>
      <c r="B52" s="33">
        <v>542</v>
      </c>
      <c r="C52" s="8">
        <v>305015</v>
      </c>
      <c r="D52" s="8">
        <v>112373</v>
      </c>
      <c r="E52" s="152">
        <v>88988.335000000006</v>
      </c>
      <c r="F52" s="34">
        <f>E52/E$76</f>
        <v>0.11567778311141039</v>
      </c>
      <c r="G52" s="47">
        <v>406</v>
      </c>
      <c r="H52" s="48">
        <v>151653</v>
      </c>
      <c r="I52" s="48">
        <v>55663</v>
      </c>
      <c r="J52" s="162">
        <v>47141.836000000003</v>
      </c>
      <c r="K52" s="50">
        <f>J52/J$76</f>
        <v>6.4332182622701017E-2</v>
      </c>
      <c r="L52" s="128">
        <v>420</v>
      </c>
      <c r="M52" s="129">
        <v>149736</v>
      </c>
      <c r="N52" s="129">
        <v>52049</v>
      </c>
      <c r="O52" s="169">
        <v>44262.591999999997</v>
      </c>
      <c r="P52" s="131">
        <f>O52/O$76</f>
        <v>6.2874612501603297E-2</v>
      </c>
      <c r="Q52" s="128">
        <v>535</v>
      </c>
      <c r="R52" s="129">
        <v>329770</v>
      </c>
      <c r="S52" s="129">
        <v>132840</v>
      </c>
      <c r="T52" s="169">
        <v>107461.011</v>
      </c>
      <c r="U52" s="131">
        <f>T52/T$76</f>
        <v>0.15832662029229391</v>
      </c>
      <c r="V52" s="128">
        <v>402</v>
      </c>
      <c r="W52" s="129">
        <v>177009</v>
      </c>
      <c r="X52" s="129">
        <v>79511</v>
      </c>
      <c r="Y52" s="169">
        <v>53344.254000000001</v>
      </c>
      <c r="Z52" s="131">
        <f>Y52/Y$76</f>
        <v>8.6505321086523201E-2</v>
      </c>
    </row>
    <row r="53" spans="1:26" x14ac:dyDescent="0.2">
      <c r="A53" s="114" t="str">
        <f>$A$13</f>
        <v>2 – eher klein</v>
      </c>
      <c r="B53" s="33">
        <v>517</v>
      </c>
      <c r="C53" s="8">
        <v>1189166</v>
      </c>
      <c r="D53" s="8">
        <v>237055</v>
      </c>
      <c r="E53" s="152">
        <v>231134.31099999999</v>
      </c>
      <c r="F53" s="34">
        <f>E53/E$76</f>
        <v>0.30045628674211367</v>
      </c>
      <c r="G53" s="47">
        <v>473</v>
      </c>
      <c r="H53" s="48">
        <v>833899</v>
      </c>
      <c r="I53" s="48">
        <v>191936</v>
      </c>
      <c r="J53" s="162">
        <v>163165.50099999999</v>
      </c>
      <c r="K53" s="50">
        <f>J53/J$76</f>
        <v>0.22266406442160003</v>
      </c>
      <c r="L53" s="128">
        <v>453</v>
      </c>
      <c r="M53" s="129">
        <v>770950</v>
      </c>
      <c r="N53" s="129">
        <v>178382</v>
      </c>
      <c r="O53" s="169">
        <v>149933.22200000001</v>
      </c>
      <c r="P53" s="131">
        <f>O53/O$76</f>
        <v>0.21297878882390942</v>
      </c>
      <c r="Q53" s="128">
        <v>547</v>
      </c>
      <c r="R53" s="129">
        <v>1009545</v>
      </c>
      <c r="S53" s="129">
        <v>189809</v>
      </c>
      <c r="T53" s="169">
        <v>166062.804</v>
      </c>
      <c r="U53" s="131">
        <f>T53/T$76</f>
        <v>0.24466699381398552</v>
      </c>
      <c r="V53" s="128">
        <v>509</v>
      </c>
      <c r="W53" s="129">
        <v>719169</v>
      </c>
      <c r="X53" s="129">
        <v>142645</v>
      </c>
      <c r="Y53" s="169">
        <v>121442.83</v>
      </c>
      <c r="Z53" s="131">
        <f>Y53/Y$76</f>
        <v>0.19693688101451476</v>
      </c>
    </row>
    <row r="54" spans="1:26" x14ac:dyDescent="0.2">
      <c r="A54" s="114" t="str">
        <f>$A$14</f>
        <v>3 – mittel</v>
      </c>
      <c r="B54" s="33">
        <v>463</v>
      </c>
      <c r="C54" s="8">
        <v>2232194</v>
      </c>
      <c r="D54" s="8">
        <v>361464</v>
      </c>
      <c r="E54" s="152">
        <v>407701.83600000001</v>
      </c>
      <c r="F54" s="34">
        <f>E54/E$76</f>
        <v>0.52998007614067399</v>
      </c>
      <c r="G54" s="47">
        <v>579</v>
      </c>
      <c r="H54" s="48">
        <v>2152291</v>
      </c>
      <c r="I54" s="48">
        <v>269684</v>
      </c>
      <c r="J54" s="162">
        <v>349582.21299999999</v>
      </c>
      <c r="K54" s="50">
        <f>J54/J$76</f>
        <v>0.47705793148073322</v>
      </c>
      <c r="L54" s="128">
        <v>601</v>
      </c>
      <c r="M54" s="129">
        <v>2143782</v>
      </c>
      <c r="N54" s="129">
        <v>261318</v>
      </c>
      <c r="O54" s="169">
        <v>321759.26699999999</v>
      </c>
      <c r="P54" s="131">
        <f>O54/O$76</f>
        <v>0.45705613515414806</v>
      </c>
      <c r="Q54" s="128">
        <v>570</v>
      </c>
      <c r="R54" s="129">
        <v>2004175</v>
      </c>
      <c r="S54" s="129">
        <v>285018</v>
      </c>
      <c r="T54" s="169">
        <v>323516.12800000003</v>
      </c>
      <c r="U54" s="131">
        <f>T54/T$76</f>
        <v>0.4766492952154448</v>
      </c>
      <c r="V54" s="128">
        <v>690</v>
      </c>
      <c r="W54" s="129">
        <v>2149500</v>
      </c>
      <c r="X54" s="129">
        <v>340869</v>
      </c>
      <c r="Y54" s="169">
        <v>251425.65100000001</v>
      </c>
      <c r="Z54" s="131">
        <f>Y54/Y$76</f>
        <v>0.4077225762524137</v>
      </c>
    </row>
    <row r="55" spans="1:26" x14ac:dyDescent="0.2">
      <c r="A55" s="114" t="str">
        <f>$A$15</f>
        <v>4 – eher hoch</v>
      </c>
      <c r="B55" s="33">
        <v>72</v>
      </c>
      <c r="C55" s="8">
        <v>120486</v>
      </c>
      <c r="D55" s="8">
        <v>48617</v>
      </c>
      <c r="E55" s="152">
        <v>39440.171999999999</v>
      </c>
      <c r="F55" s="34">
        <f>E55/E$76</f>
        <v>5.1269097938428897E-2</v>
      </c>
      <c r="G55" s="47">
        <v>150</v>
      </c>
      <c r="H55" s="48">
        <v>565616</v>
      </c>
      <c r="I55" s="48">
        <v>210110</v>
      </c>
      <c r="J55" s="162">
        <v>165418.11900000001</v>
      </c>
      <c r="K55" s="50">
        <f>J55/J$76</f>
        <v>0.22573810321285934</v>
      </c>
      <c r="L55" s="128">
        <v>191</v>
      </c>
      <c r="M55" s="129">
        <v>657916</v>
      </c>
      <c r="N55" s="129">
        <v>239259</v>
      </c>
      <c r="O55" s="169">
        <v>185651.18</v>
      </c>
      <c r="P55" s="131">
        <f>O55/O$76</f>
        <v>0.26371582583698222</v>
      </c>
      <c r="Q55" s="128">
        <v>102</v>
      </c>
      <c r="R55" s="129">
        <v>288720</v>
      </c>
      <c r="S55" s="129">
        <v>94355</v>
      </c>
      <c r="T55" s="169">
        <v>73450.218999999997</v>
      </c>
      <c r="U55" s="131">
        <f>T55/T$76</f>
        <v>0.1082171554667286</v>
      </c>
      <c r="V55" s="128">
        <v>202</v>
      </c>
      <c r="W55" s="129">
        <v>475471</v>
      </c>
      <c r="X55" s="129">
        <v>200850</v>
      </c>
      <c r="Y55" s="169">
        <v>179342.38500000001</v>
      </c>
      <c r="Z55" s="131">
        <f>Y55/Y$76</f>
        <v>0.29082927279942583</v>
      </c>
    </row>
    <row r="56" spans="1:26" x14ac:dyDescent="0.2">
      <c r="A56" s="114" t="str">
        <f>$A$16</f>
        <v>5 – hoch</v>
      </c>
      <c r="B56" s="33">
        <v>22</v>
      </c>
      <c r="C56" s="8">
        <v>3328</v>
      </c>
      <c r="D56" s="8">
        <v>1798</v>
      </c>
      <c r="E56" s="152">
        <v>2013.0119999999999</v>
      </c>
      <c r="F56" s="34">
        <f>E56/E$76</f>
        <v>2.6167560673729475E-3</v>
      </c>
      <c r="G56" s="47">
        <v>35</v>
      </c>
      <c r="H56" s="48">
        <v>24595</v>
      </c>
      <c r="I56" s="48">
        <v>11334</v>
      </c>
      <c r="J56" s="162">
        <v>7480.0910000000003</v>
      </c>
      <c r="K56" s="50">
        <f>J56/J$76</f>
        <v>1.0207718262106343E-2</v>
      </c>
      <c r="L56" s="128">
        <v>40</v>
      </c>
      <c r="M56" s="129">
        <v>7428</v>
      </c>
      <c r="N56" s="129">
        <v>3759</v>
      </c>
      <c r="O56" s="169">
        <v>2375.6840000000002</v>
      </c>
      <c r="P56" s="131">
        <f>O56/O$76</f>
        <v>3.3746376833570643E-3</v>
      </c>
      <c r="Q56" s="128">
        <v>48</v>
      </c>
      <c r="R56" s="129">
        <v>32447</v>
      </c>
      <c r="S56" s="129">
        <v>12884</v>
      </c>
      <c r="T56" s="169">
        <v>8239.7369999999992</v>
      </c>
      <c r="U56" s="131">
        <f>T56/T$76</f>
        <v>1.2139935211547237E-2</v>
      </c>
      <c r="V56" s="128">
        <v>44</v>
      </c>
      <c r="W56" s="129">
        <v>53483</v>
      </c>
      <c r="X56" s="129">
        <v>19752</v>
      </c>
      <c r="Y56" s="169">
        <v>11103.523999999999</v>
      </c>
      <c r="Z56" s="131">
        <f>Y56/Y$76</f>
        <v>1.8005948847122623E-2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1.0000000000000002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klein</v>
      </c>
      <c r="B92" s="36">
        <v>8</v>
      </c>
      <c r="C92" s="10">
        <v>16118</v>
      </c>
      <c r="D92" s="10">
        <v>6466</v>
      </c>
      <c r="E92" s="154">
        <v>5766.0020000000004</v>
      </c>
      <c r="F92" s="37">
        <f>E92/E$116</f>
        <v>4.302661716204606E-2</v>
      </c>
      <c r="G92" s="53">
        <v>6</v>
      </c>
      <c r="H92" s="54">
        <v>14675</v>
      </c>
      <c r="I92" s="54">
        <v>5634</v>
      </c>
      <c r="J92" s="164">
        <v>5076.0510000000004</v>
      </c>
      <c r="K92" s="56">
        <f>J92/J$116</f>
        <v>3.9881800205832339E-2</v>
      </c>
      <c r="L92" s="136">
        <v>5</v>
      </c>
      <c r="M92" s="137">
        <v>29701</v>
      </c>
      <c r="N92" s="137">
        <v>12368</v>
      </c>
      <c r="O92" s="171">
        <v>12142.317999999999</v>
      </c>
      <c r="P92" s="139">
        <f>O92/O$116</f>
        <v>0.1018240732220527</v>
      </c>
      <c r="Q92" s="136">
        <v>9</v>
      </c>
      <c r="R92" s="137">
        <v>41422</v>
      </c>
      <c r="S92" s="137">
        <v>14148</v>
      </c>
      <c r="T92" s="171">
        <v>12577.005999999999</v>
      </c>
      <c r="U92" s="139">
        <f>T92/T$116</f>
        <v>0.10037425364990366</v>
      </c>
      <c r="V92" s="136">
        <v>8</v>
      </c>
      <c r="W92" s="137">
        <v>15195</v>
      </c>
      <c r="X92" s="137">
        <v>5490</v>
      </c>
      <c r="Y92" s="171">
        <v>4636.6000000000004</v>
      </c>
      <c r="Z92" s="139">
        <f>Y92/Y$116</f>
        <v>3.5999511817861138E-2</v>
      </c>
    </row>
    <row r="93" spans="1:26" x14ac:dyDescent="0.2">
      <c r="A93" s="114" t="str">
        <f>$A$13</f>
        <v>2 – eher klein</v>
      </c>
      <c r="B93" s="36">
        <v>12</v>
      </c>
      <c r="C93" s="10">
        <v>114123</v>
      </c>
      <c r="D93" s="10">
        <v>53602</v>
      </c>
      <c r="E93" s="154">
        <v>47634.315999999999</v>
      </c>
      <c r="F93" s="37">
        <f>E93/E$116</f>
        <v>0.3554531334376792</v>
      </c>
      <c r="G93" s="53">
        <v>11</v>
      </c>
      <c r="H93" s="54">
        <v>94804</v>
      </c>
      <c r="I93" s="54">
        <v>42338</v>
      </c>
      <c r="J93" s="164">
        <v>37230.701999999997</v>
      </c>
      <c r="K93" s="56">
        <f>J93/J$116</f>
        <v>0.29251625302560641</v>
      </c>
      <c r="L93" s="136">
        <v>12</v>
      </c>
      <c r="M93" s="137">
        <v>75758</v>
      </c>
      <c r="N93" s="137">
        <v>30431</v>
      </c>
      <c r="O93" s="171">
        <v>26264.736000000001</v>
      </c>
      <c r="P93" s="139">
        <f>O93/O$116</f>
        <v>0.22025303583894637</v>
      </c>
      <c r="Q93" s="136">
        <v>11</v>
      </c>
      <c r="R93" s="137">
        <v>65257</v>
      </c>
      <c r="S93" s="137">
        <v>33859</v>
      </c>
      <c r="T93" s="171">
        <v>24071.136999999999</v>
      </c>
      <c r="U93" s="139">
        <f>T93/T$116</f>
        <v>0.19210632569306088</v>
      </c>
      <c r="V93" s="136">
        <v>16</v>
      </c>
      <c r="W93" s="137">
        <v>31133</v>
      </c>
      <c r="X93" s="137">
        <v>10982</v>
      </c>
      <c r="Y93" s="171">
        <v>9530.0990000000002</v>
      </c>
      <c r="Z93" s="139">
        <f>Y93/Y$116</f>
        <v>7.3993640075893236E-2</v>
      </c>
    </row>
    <row r="94" spans="1:26" x14ac:dyDescent="0.2">
      <c r="A94" s="114" t="str">
        <f>$A$14</f>
        <v>3 – mittel</v>
      </c>
      <c r="B94" s="36">
        <v>5</v>
      </c>
      <c r="C94" s="10">
        <v>14667</v>
      </c>
      <c r="D94" s="10">
        <v>8936</v>
      </c>
      <c r="E94" s="154">
        <v>7303.3530000000001</v>
      </c>
      <c r="F94" s="37">
        <f>E94/E$116</f>
        <v>5.4498519690121608E-2</v>
      </c>
      <c r="G94" s="53">
        <v>6</v>
      </c>
      <c r="H94" s="54">
        <v>33556</v>
      </c>
      <c r="I94" s="54">
        <v>17967</v>
      </c>
      <c r="J94" s="164">
        <v>15014.234</v>
      </c>
      <c r="K94" s="56">
        <f>J94/J$116</f>
        <v>0.11796466990414693</v>
      </c>
      <c r="L94" s="136">
        <v>8</v>
      </c>
      <c r="M94" s="137">
        <v>34713</v>
      </c>
      <c r="N94" s="137">
        <v>22380</v>
      </c>
      <c r="O94" s="171">
        <v>16538.483</v>
      </c>
      <c r="P94" s="139">
        <f>O94/O$116</f>
        <v>0.1386898040368959</v>
      </c>
      <c r="Q94" s="136">
        <v>8</v>
      </c>
      <c r="R94" s="137">
        <v>60849</v>
      </c>
      <c r="S94" s="137">
        <v>26470</v>
      </c>
      <c r="T94" s="171">
        <v>25057.473000000002</v>
      </c>
      <c r="U94" s="139">
        <f>T94/T$116</f>
        <v>0.1999780512729033</v>
      </c>
      <c r="V94" s="136">
        <v>11</v>
      </c>
      <c r="W94" s="137">
        <v>80713</v>
      </c>
      <c r="X94" s="137">
        <v>39038</v>
      </c>
      <c r="Y94" s="171">
        <v>30580.116000000002</v>
      </c>
      <c r="Z94" s="139">
        <f>Y94/Y$116</f>
        <v>0.23743028239088221</v>
      </c>
    </row>
    <row r="95" spans="1:26" x14ac:dyDescent="0.2">
      <c r="A95" s="114" t="str">
        <f>$A$15</f>
        <v>4 – eher hoch</v>
      </c>
      <c r="B95" s="36">
        <v>2</v>
      </c>
      <c r="C95" s="10">
        <v>11929</v>
      </c>
      <c r="D95" s="10">
        <v>6073</v>
      </c>
      <c r="E95" s="154">
        <v>5311.1440000000002</v>
      </c>
      <c r="F95" s="37">
        <f>E95/E$116</f>
        <v>3.9632410738063908E-2</v>
      </c>
      <c r="G95" s="53">
        <v>5</v>
      </c>
      <c r="H95" s="54">
        <v>12551</v>
      </c>
      <c r="I95" s="54">
        <v>6200</v>
      </c>
      <c r="J95" s="164">
        <v>5301.2420000000002</v>
      </c>
      <c r="K95" s="56">
        <f>J95/J$116</f>
        <v>4.1651093396572858E-2</v>
      </c>
      <c r="L95" s="136">
        <v>3</v>
      </c>
      <c r="M95" s="137">
        <v>11819</v>
      </c>
      <c r="N95" s="137">
        <v>5609</v>
      </c>
      <c r="O95" s="171">
        <v>4940.3</v>
      </c>
      <c r="P95" s="139">
        <f>O95/O$116</f>
        <v>4.1428783938858051E-2</v>
      </c>
      <c r="Q95" s="136">
        <v>3</v>
      </c>
      <c r="R95" s="137">
        <v>45505</v>
      </c>
      <c r="S95" s="137">
        <v>21384</v>
      </c>
      <c r="T95" s="171">
        <v>19098.974999999999</v>
      </c>
      <c r="U95" s="139">
        <f>T95/T$116</f>
        <v>0.15242462006483648</v>
      </c>
      <c r="V95" s="136">
        <v>8</v>
      </c>
      <c r="W95" s="137">
        <v>74039</v>
      </c>
      <c r="X95" s="137">
        <v>30344</v>
      </c>
      <c r="Y95" s="171">
        <v>26842.308000000001</v>
      </c>
      <c r="Z95" s="139">
        <f>Y95/Y$116</f>
        <v>0.20840917570302991</v>
      </c>
    </row>
    <row r="96" spans="1:26" x14ac:dyDescent="0.2">
      <c r="A96" s="114" t="str">
        <f>$A$16</f>
        <v>5 – hoch</v>
      </c>
      <c r="B96" s="36">
        <v>11</v>
      </c>
      <c r="C96" s="10">
        <v>168886</v>
      </c>
      <c r="D96" s="10">
        <v>81107</v>
      </c>
      <c r="E96" s="154">
        <v>67995.301999999996</v>
      </c>
      <c r="F96" s="37">
        <f>E96/E$116</f>
        <v>0.50738931897208928</v>
      </c>
      <c r="G96" s="53">
        <v>11</v>
      </c>
      <c r="H96" s="54">
        <v>166454</v>
      </c>
      <c r="I96" s="54">
        <v>77959</v>
      </c>
      <c r="J96" s="164">
        <v>64655.15</v>
      </c>
      <c r="K96" s="56">
        <f>J96/J$116</f>
        <v>0.50798618346784163</v>
      </c>
      <c r="L96" s="136">
        <v>10</v>
      </c>
      <c r="M96" s="137">
        <v>156352</v>
      </c>
      <c r="N96" s="137">
        <v>73046</v>
      </c>
      <c r="O96" s="171">
        <v>59362.171999999999</v>
      </c>
      <c r="P96" s="139">
        <f>O96/O$116</f>
        <v>0.4978043029632469</v>
      </c>
      <c r="Q96" s="136">
        <v>12</v>
      </c>
      <c r="R96" s="137">
        <v>126347</v>
      </c>
      <c r="S96" s="137">
        <v>58051</v>
      </c>
      <c r="T96" s="171">
        <v>44496.525000000001</v>
      </c>
      <c r="U96" s="139">
        <f>T96/T$116</f>
        <v>0.35511674931929582</v>
      </c>
      <c r="V96" s="136">
        <v>15</v>
      </c>
      <c r="W96" s="137">
        <v>157036</v>
      </c>
      <c r="X96" s="137">
        <v>73851</v>
      </c>
      <c r="Y96" s="171">
        <v>57207.067999999999</v>
      </c>
      <c r="Z96" s="139">
        <f>Y96/Y$116</f>
        <v>0.44416739001233346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1.0000000000000002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125301.11599999998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8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Translation!$A$52</f>
        <v>Risikodimension Zinsversprechen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Risikostufe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klein</v>
      </c>
      <c r="B12" s="30">
        <v>372</v>
      </c>
      <c r="C12" s="6">
        <v>1173415</v>
      </c>
      <c r="D12" s="6">
        <v>3914</v>
      </c>
      <c r="E12" s="150">
        <v>116185.121</v>
      </c>
      <c r="F12" s="31">
        <f>E12/E$36</f>
        <v>0.12923199960235049</v>
      </c>
      <c r="G12" s="41">
        <v>390</v>
      </c>
      <c r="H12" s="42">
        <v>1268056</v>
      </c>
      <c r="I12" s="42">
        <v>4176</v>
      </c>
      <c r="J12" s="160">
        <v>122747.03599999999</v>
      </c>
      <c r="K12" s="44">
        <f>J12/J$36</f>
        <v>0.14337342613671364</v>
      </c>
      <c r="L12" s="76">
        <v>419</v>
      </c>
      <c r="M12" s="122">
        <v>1305328</v>
      </c>
      <c r="N12" s="122">
        <v>15778</v>
      </c>
      <c r="O12" s="167">
        <v>122868.249</v>
      </c>
      <c r="P12" s="124">
        <f>O12/O$36</f>
        <v>0.15046827995405135</v>
      </c>
      <c r="Q12" s="76">
        <v>455</v>
      </c>
      <c r="R12" s="122">
        <v>1271986</v>
      </c>
      <c r="S12" s="122">
        <v>8174</v>
      </c>
      <c r="T12" s="167">
        <v>127491.659</v>
      </c>
      <c r="U12" s="124">
        <f>T12/T$36</f>
        <v>0.15960581554611072</v>
      </c>
      <c r="V12" s="76">
        <v>478</v>
      </c>
      <c r="W12" s="122">
        <v>1425237</v>
      </c>
      <c r="X12" s="122">
        <v>145128</v>
      </c>
      <c r="Y12" s="167">
        <v>91163.843000000008</v>
      </c>
      <c r="Z12" s="124">
        <f>Y12/Y$36</f>
        <v>0.12290126755962098</v>
      </c>
    </row>
    <row r="13" spans="1:26" x14ac:dyDescent="0.2">
      <c r="A13" s="114" t="str">
        <f>Translation!$A57</f>
        <v>2 – eher klein</v>
      </c>
      <c r="B13" s="30">
        <v>53</v>
      </c>
      <c r="C13" s="6">
        <v>194572</v>
      </c>
      <c r="D13" s="6">
        <v>106946</v>
      </c>
      <c r="E13" s="150">
        <v>99763.297999999995</v>
      </c>
      <c r="F13" s="31">
        <f>E13/E$36</f>
        <v>0.11096610630086766</v>
      </c>
      <c r="G13" s="41">
        <v>35</v>
      </c>
      <c r="H13" s="42">
        <v>124041</v>
      </c>
      <c r="I13" s="42">
        <v>55652</v>
      </c>
      <c r="J13" s="160">
        <v>47525.457999999999</v>
      </c>
      <c r="K13" s="44">
        <f>J13/J$36</f>
        <v>5.5511627524565947E-2</v>
      </c>
      <c r="L13" s="76">
        <v>10</v>
      </c>
      <c r="M13" s="122">
        <v>89554</v>
      </c>
      <c r="N13" s="122">
        <v>35293</v>
      </c>
      <c r="O13" s="167">
        <v>32416.651999999998</v>
      </c>
      <c r="P13" s="124">
        <f>O13/O$36</f>
        <v>3.9698440467797816E-2</v>
      </c>
      <c r="Q13" s="76">
        <v>28</v>
      </c>
      <c r="R13" s="122">
        <v>90658</v>
      </c>
      <c r="S13" s="122">
        <v>62770</v>
      </c>
      <c r="T13" s="167">
        <v>36425.635999999999</v>
      </c>
      <c r="U13" s="124">
        <f>T13/T$36</f>
        <v>4.560097018241617E-2</v>
      </c>
      <c r="V13" s="76">
        <v>73</v>
      </c>
      <c r="W13" s="122">
        <v>180281</v>
      </c>
      <c r="X13" s="122">
        <v>103176</v>
      </c>
      <c r="Y13" s="167">
        <v>122692.25900000001</v>
      </c>
      <c r="Z13" s="124">
        <f>Y13/Y$36</f>
        <v>0.16540586327469012</v>
      </c>
    </row>
    <row r="14" spans="1:26" x14ac:dyDescent="0.2">
      <c r="A14" s="114" t="str">
        <f>Translation!$A58</f>
        <v>3 – mittel</v>
      </c>
      <c r="B14" s="30">
        <v>306</v>
      </c>
      <c r="C14" s="6">
        <v>696494</v>
      </c>
      <c r="D14" s="6">
        <v>316064</v>
      </c>
      <c r="E14" s="150">
        <v>278979.435</v>
      </c>
      <c r="F14" s="31">
        <f>E14/E$36</f>
        <v>0.31030711955779572</v>
      </c>
      <c r="G14" s="41">
        <v>206</v>
      </c>
      <c r="H14" s="42">
        <v>499823</v>
      </c>
      <c r="I14" s="42">
        <v>248509</v>
      </c>
      <c r="J14" s="160">
        <v>201430.79300000001</v>
      </c>
      <c r="K14" s="44">
        <f>J14/J$36</f>
        <v>0.23527918769333997</v>
      </c>
      <c r="L14" s="76">
        <v>105</v>
      </c>
      <c r="M14" s="122">
        <v>238519</v>
      </c>
      <c r="N14" s="122">
        <v>126657</v>
      </c>
      <c r="O14" s="167">
        <v>91525.353000000003</v>
      </c>
      <c r="P14" s="124">
        <f>O14/O$36</f>
        <v>0.11208479448663239</v>
      </c>
      <c r="Q14" s="76">
        <v>226</v>
      </c>
      <c r="R14" s="122">
        <v>467723</v>
      </c>
      <c r="S14" s="122">
        <v>208571</v>
      </c>
      <c r="T14" s="167">
        <v>180024.63400000002</v>
      </c>
      <c r="U14" s="124">
        <f>T14/T$36</f>
        <v>0.22537143804803808</v>
      </c>
      <c r="V14" s="76">
        <v>456</v>
      </c>
      <c r="W14" s="122">
        <v>743563</v>
      </c>
      <c r="X14" s="122">
        <v>257206</v>
      </c>
      <c r="Y14" s="167">
        <v>215177.16899999999</v>
      </c>
      <c r="Z14" s="124">
        <f>Y14/Y$36</f>
        <v>0.29008810894458209</v>
      </c>
    </row>
    <row r="15" spans="1:26" x14ac:dyDescent="0.2">
      <c r="A15" s="114" t="str">
        <f>Translation!$A59</f>
        <v>4 – eher hoch</v>
      </c>
      <c r="B15" s="30">
        <v>302</v>
      </c>
      <c r="C15" s="6">
        <v>643266</v>
      </c>
      <c r="D15" s="6">
        <v>206135</v>
      </c>
      <c r="E15" s="150">
        <v>171332.11000000002</v>
      </c>
      <c r="F15" s="31">
        <f>E15/E$36</f>
        <v>0.19057165823659872</v>
      </c>
      <c r="G15" s="41">
        <v>314</v>
      </c>
      <c r="H15" s="42">
        <v>622691</v>
      </c>
      <c r="I15" s="42">
        <v>243404</v>
      </c>
      <c r="J15" s="160">
        <v>215531.53599999999</v>
      </c>
      <c r="K15" s="44">
        <f>J15/J$36</f>
        <v>0.25174941704358905</v>
      </c>
      <c r="L15" s="76">
        <v>305</v>
      </c>
      <c r="M15" s="122">
        <v>559149</v>
      </c>
      <c r="N15" s="122">
        <v>253295</v>
      </c>
      <c r="O15" s="167">
        <v>216512.022</v>
      </c>
      <c r="P15" s="124">
        <f>O15/O$36</f>
        <v>0.26514735747323726</v>
      </c>
      <c r="Q15" s="76">
        <v>567</v>
      </c>
      <c r="R15" s="122">
        <v>973670</v>
      </c>
      <c r="S15" s="122">
        <v>257361</v>
      </c>
      <c r="T15" s="167">
        <v>217000.139</v>
      </c>
      <c r="U15" s="124">
        <f>T15/T$36</f>
        <v>0.2716607849515425</v>
      </c>
      <c r="V15" s="76">
        <v>428</v>
      </c>
      <c r="W15" s="122">
        <v>883390</v>
      </c>
      <c r="X15" s="122">
        <v>275999</v>
      </c>
      <c r="Y15" s="167">
        <v>201447.886</v>
      </c>
      <c r="Z15" s="124">
        <f>Y15/Y$36</f>
        <v>0.27157916693579959</v>
      </c>
    </row>
    <row r="16" spans="1:26" x14ac:dyDescent="0.2">
      <c r="A16" s="114" t="str">
        <f>Translation!$A60</f>
        <v>5 – hoch</v>
      </c>
      <c r="B16" s="30">
        <v>546</v>
      </c>
      <c r="C16" s="6">
        <v>1465766</v>
      </c>
      <c r="D16" s="6">
        <v>273622</v>
      </c>
      <c r="E16" s="150">
        <v>232783.008</v>
      </c>
      <c r="F16" s="31">
        <f>E16/E$36</f>
        <v>0.25892311630238735</v>
      </c>
      <c r="G16" s="41">
        <v>663</v>
      </c>
      <c r="H16" s="42">
        <v>1533333</v>
      </c>
      <c r="I16" s="42">
        <v>326932</v>
      </c>
      <c r="J16" s="160">
        <v>268900.37099999998</v>
      </c>
      <c r="K16" s="44">
        <f>J16/J$36</f>
        <v>0.3140863416017915</v>
      </c>
      <c r="L16" s="76">
        <v>827</v>
      </c>
      <c r="M16" s="122">
        <v>1836722</v>
      </c>
      <c r="N16" s="122">
        <v>435081</v>
      </c>
      <c r="O16" s="167">
        <v>353250.15399999998</v>
      </c>
      <c r="P16" s="124">
        <f>O16/O$36</f>
        <v>0.43260112761828123</v>
      </c>
      <c r="Q16" s="76">
        <v>484</v>
      </c>
      <c r="R16" s="122">
        <v>1189734</v>
      </c>
      <c r="S16" s="122">
        <v>324036</v>
      </c>
      <c r="T16" s="167">
        <v>237848.74400000001</v>
      </c>
      <c r="U16" s="124">
        <f>T16/T$36</f>
        <v>0.29776099127189265</v>
      </c>
      <c r="V16" s="76">
        <v>370</v>
      </c>
      <c r="W16" s="122">
        <v>689598</v>
      </c>
      <c r="X16" s="122">
        <v>155190</v>
      </c>
      <c r="Y16" s="167">
        <v>111283.715</v>
      </c>
      <c r="Z16" s="124">
        <f>Y16/Y$36</f>
        <v>0.15002559328530726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1579</v>
      </c>
      <c r="C36" s="7">
        <f t="shared" ref="C36:E36" si="0">SUM(C$12:C$35)</f>
        <v>4173513</v>
      </c>
      <c r="D36" s="7">
        <f t="shared" si="0"/>
        <v>906681</v>
      </c>
      <c r="E36" s="151">
        <f t="shared" si="0"/>
        <v>899042.97200000007</v>
      </c>
      <c r="F36" s="64">
        <f>SUM(F$12:F$35)</f>
        <v>1</v>
      </c>
      <c r="G36" s="45">
        <f>SUM(G$12:G$35)</f>
        <v>1608</v>
      </c>
      <c r="H36" s="65">
        <f t="shared" ref="H36:J36" si="1">SUM(H$12:H$35)</f>
        <v>4047944</v>
      </c>
      <c r="I36" s="65">
        <f t="shared" si="1"/>
        <v>878673</v>
      </c>
      <c r="J36" s="161">
        <f t="shared" si="1"/>
        <v>856135.1939999999</v>
      </c>
      <c r="K36" s="66">
        <f>SUM(K$12:K$35)</f>
        <v>1</v>
      </c>
      <c r="L36" s="77">
        <f>SUM(L$12:L$35)</f>
        <v>1666</v>
      </c>
      <c r="M36" s="125">
        <f t="shared" ref="M36:O36" si="2">SUM(M$12:M$35)</f>
        <v>4029272</v>
      </c>
      <c r="N36" s="125">
        <f t="shared" si="2"/>
        <v>866104</v>
      </c>
      <c r="O36" s="168">
        <f t="shared" si="2"/>
        <v>816572.42999999993</v>
      </c>
      <c r="P36" s="127">
        <f>SUM(P$12:P$35)</f>
        <v>1</v>
      </c>
      <c r="Q36" s="77">
        <f>SUM(Q$12:Q$35)</f>
        <v>1760</v>
      </c>
      <c r="R36" s="125">
        <f t="shared" ref="R36:T36" si="3">SUM(R$12:R$35)</f>
        <v>3993771</v>
      </c>
      <c r="S36" s="125">
        <f t="shared" si="3"/>
        <v>860912</v>
      </c>
      <c r="T36" s="168">
        <f t="shared" si="3"/>
        <v>798790.81199999992</v>
      </c>
      <c r="U36" s="127">
        <f>SUM(U$12:U$35)</f>
        <v>1</v>
      </c>
      <c r="V36" s="77">
        <f t="shared" ref="V36:Z36" si="4">SUM(V$12:V$35)</f>
        <v>1805</v>
      </c>
      <c r="W36" s="125">
        <f t="shared" si="4"/>
        <v>3922069</v>
      </c>
      <c r="X36" s="125">
        <f t="shared" si="4"/>
        <v>936699</v>
      </c>
      <c r="Y36" s="168">
        <f t="shared" si="4"/>
        <v>741764.87199999997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klein</v>
      </c>
      <c r="B52" s="33">
        <v>372</v>
      </c>
      <c r="C52" s="8">
        <v>1173415</v>
      </c>
      <c r="D52" s="8">
        <v>3914</v>
      </c>
      <c r="E52" s="152">
        <v>116185.121</v>
      </c>
      <c r="F52" s="34">
        <f>E52/E$76</f>
        <v>0.15186945271781824</v>
      </c>
      <c r="G52" s="47">
        <v>390</v>
      </c>
      <c r="H52" s="48">
        <v>1268056</v>
      </c>
      <c r="I52" s="48">
        <v>4176</v>
      </c>
      <c r="J52" s="162">
        <v>122747.03599999999</v>
      </c>
      <c r="K52" s="50">
        <f>J52/J$76</f>
        <v>0.16841012536855354</v>
      </c>
      <c r="L52" s="128">
        <v>419</v>
      </c>
      <c r="M52" s="129">
        <v>1305328</v>
      </c>
      <c r="N52" s="129">
        <v>15778</v>
      </c>
      <c r="O52" s="169">
        <v>122868.249</v>
      </c>
      <c r="P52" s="131">
        <f>O52/O$76</f>
        <v>0.17619954973583235</v>
      </c>
      <c r="Q52" s="128">
        <v>455</v>
      </c>
      <c r="R52" s="129">
        <v>1271986</v>
      </c>
      <c r="S52" s="129">
        <v>8174</v>
      </c>
      <c r="T52" s="169">
        <v>127491.659</v>
      </c>
      <c r="U52" s="131">
        <f>T52/T$76</f>
        <v>0.18930008841590354</v>
      </c>
      <c r="V52" s="128">
        <v>477</v>
      </c>
      <c r="W52" s="129">
        <v>1424841</v>
      </c>
      <c r="X52" s="129">
        <v>145026</v>
      </c>
      <c r="Y52" s="169">
        <v>91138.148000000001</v>
      </c>
      <c r="Z52" s="131">
        <f>Y52/Y$76</f>
        <v>0.14863295421956368</v>
      </c>
    </row>
    <row r="53" spans="1:26" x14ac:dyDescent="0.2">
      <c r="A53" s="114" t="str">
        <f>$A$13</f>
        <v>2 – eher klein</v>
      </c>
      <c r="B53" s="33">
        <v>53</v>
      </c>
      <c r="C53" s="8">
        <v>194572</v>
      </c>
      <c r="D53" s="8">
        <v>106946</v>
      </c>
      <c r="E53" s="152">
        <v>99763.297999999995</v>
      </c>
      <c r="F53" s="34">
        <f>E53/E$76</f>
        <v>0.13040393931839697</v>
      </c>
      <c r="G53" s="47">
        <v>35</v>
      </c>
      <c r="H53" s="48">
        <v>124041</v>
      </c>
      <c r="I53" s="48">
        <v>55652</v>
      </c>
      <c r="J53" s="162">
        <v>47525.457999999999</v>
      </c>
      <c r="K53" s="50">
        <f>J53/J$76</f>
        <v>6.5205389888012666E-2</v>
      </c>
      <c r="L53" s="128">
        <v>10</v>
      </c>
      <c r="M53" s="129">
        <v>89554</v>
      </c>
      <c r="N53" s="129">
        <v>35293</v>
      </c>
      <c r="O53" s="169">
        <v>32416.651999999998</v>
      </c>
      <c r="P53" s="131">
        <f>O53/O$76</f>
        <v>4.6487188780098665E-2</v>
      </c>
      <c r="Q53" s="128">
        <v>28</v>
      </c>
      <c r="R53" s="129">
        <v>90658</v>
      </c>
      <c r="S53" s="129">
        <v>62770</v>
      </c>
      <c r="T53" s="169">
        <v>36425.635999999999</v>
      </c>
      <c r="U53" s="131">
        <f>T53/T$76</f>
        <v>5.4084919511522861E-2</v>
      </c>
      <c r="V53" s="128">
        <v>73</v>
      </c>
      <c r="W53" s="129">
        <v>180281</v>
      </c>
      <c r="X53" s="129">
        <v>103176</v>
      </c>
      <c r="Y53" s="169">
        <v>122692.25900000001</v>
      </c>
      <c r="Z53" s="131">
        <f>Y53/Y$76</f>
        <v>0.20009308193361414</v>
      </c>
    </row>
    <row r="54" spans="1:26" x14ac:dyDescent="0.2">
      <c r="A54" s="114" t="str">
        <f>$A$14</f>
        <v>3 – mittel</v>
      </c>
      <c r="B54" s="33">
        <v>296</v>
      </c>
      <c r="C54" s="8">
        <v>608046</v>
      </c>
      <c r="D54" s="8">
        <v>270323</v>
      </c>
      <c r="E54" s="152">
        <v>239413.079</v>
      </c>
      <c r="F54" s="34">
        <f>E54/E$76</f>
        <v>0.31294483293792658</v>
      </c>
      <c r="G54" s="47">
        <v>200</v>
      </c>
      <c r="H54" s="48">
        <v>450571</v>
      </c>
      <c r="I54" s="48">
        <v>229450</v>
      </c>
      <c r="J54" s="162">
        <v>183136.40100000001</v>
      </c>
      <c r="K54" s="50">
        <f>J54/J$76</f>
        <v>0.2512649205798802</v>
      </c>
      <c r="L54" s="128">
        <v>103</v>
      </c>
      <c r="M54" s="129">
        <v>222317</v>
      </c>
      <c r="N54" s="129">
        <v>119264</v>
      </c>
      <c r="O54" s="169">
        <v>84002.584000000003</v>
      </c>
      <c r="P54" s="131">
        <f>O54/O$76</f>
        <v>0.12046413616138077</v>
      </c>
      <c r="Q54" s="128">
        <v>221</v>
      </c>
      <c r="R54" s="129">
        <v>457110</v>
      </c>
      <c r="S54" s="129">
        <v>204003</v>
      </c>
      <c r="T54" s="169">
        <v>177041.63500000001</v>
      </c>
      <c r="U54" s="131">
        <f>T54/T$76</f>
        <v>0.26287207666500068</v>
      </c>
      <c r="V54" s="128">
        <v>446</v>
      </c>
      <c r="W54" s="129">
        <v>707154</v>
      </c>
      <c r="X54" s="129">
        <v>240601</v>
      </c>
      <c r="Y54" s="169">
        <v>202386.976</v>
      </c>
      <c r="Z54" s="131">
        <f>Y54/Y$76</f>
        <v>0.33006347834107769</v>
      </c>
    </row>
    <row r="55" spans="1:26" x14ac:dyDescent="0.2">
      <c r="A55" s="114" t="str">
        <f>$A$15</f>
        <v>4 – eher hoch</v>
      </c>
      <c r="B55" s="33">
        <v>294</v>
      </c>
      <c r="C55" s="8">
        <v>586301</v>
      </c>
      <c r="D55" s="8">
        <v>180383</v>
      </c>
      <c r="E55" s="152">
        <v>149490.76500000001</v>
      </c>
      <c r="F55" s="34">
        <f>E55/E$76</f>
        <v>0.19540437253508547</v>
      </c>
      <c r="G55" s="47">
        <v>305</v>
      </c>
      <c r="H55" s="48">
        <v>554522</v>
      </c>
      <c r="I55" s="48">
        <v>208103</v>
      </c>
      <c r="J55" s="162">
        <v>187528.47399999999</v>
      </c>
      <c r="K55" s="50">
        <f>J55/J$76</f>
        <v>0.25729088738658856</v>
      </c>
      <c r="L55" s="128">
        <v>298</v>
      </c>
      <c r="M55" s="129">
        <v>515503</v>
      </c>
      <c r="N55" s="129">
        <v>234470</v>
      </c>
      <c r="O55" s="169">
        <v>201156.723</v>
      </c>
      <c r="P55" s="131">
        <f>O55/O$76</f>
        <v>0.28846935076722346</v>
      </c>
      <c r="Q55" s="128">
        <v>554</v>
      </c>
      <c r="R55" s="129">
        <v>905527</v>
      </c>
      <c r="S55" s="129">
        <v>229295</v>
      </c>
      <c r="T55" s="169">
        <v>194173.42199999999</v>
      </c>
      <c r="U55" s="131">
        <f>T55/T$76</f>
        <v>0.28830941758016143</v>
      </c>
      <c r="V55" s="128">
        <v>405</v>
      </c>
      <c r="W55" s="129">
        <v>696489</v>
      </c>
      <c r="X55" s="129">
        <v>191841</v>
      </c>
      <c r="Y55" s="169">
        <v>130097.136</v>
      </c>
      <c r="Z55" s="131">
        <f>Y55/Y$76</f>
        <v>0.21216935041498045</v>
      </c>
    </row>
    <row r="56" spans="1:26" x14ac:dyDescent="0.2">
      <c r="A56" s="114" t="str">
        <f>$A$16</f>
        <v>5 – hoch</v>
      </c>
      <c r="B56" s="33">
        <v>526</v>
      </c>
      <c r="C56" s="8">
        <v>1285456</v>
      </c>
      <c r="D56" s="8">
        <v>188931</v>
      </c>
      <c r="E56" s="152">
        <v>160180.592</v>
      </c>
      <c r="F56" s="34">
        <f>E56/E$76</f>
        <v>0.20937740249077277</v>
      </c>
      <c r="G56" s="47">
        <v>639</v>
      </c>
      <c r="H56" s="48">
        <v>1328714</v>
      </c>
      <c r="I56" s="48">
        <v>231194</v>
      </c>
      <c r="J56" s="162">
        <v>187920.446</v>
      </c>
      <c r="K56" s="50">
        <f>J56/J$76</f>
        <v>0.25782867677696508</v>
      </c>
      <c r="L56" s="128">
        <v>798</v>
      </c>
      <c r="M56" s="129">
        <v>1588227</v>
      </c>
      <c r="N56" s="129">
        <v>317465</v>
      </c>
      <c r="O56" s="169">
        <v>256880.21299999999</v>
      </c>
      <c r="P56" s="131">
        <f>O56/O$76</f>
        <v>0.36837977455546478</v>
      </c>
      <c r="Q56" s="128">
        <v>459</v>
      </c>
      <c r="R56" s="129">
        <v>929110</v>
      </c>
      <c r="S56" s="129">
        <v>202758</v>
      </c>
      <c r="T56" s="169">
        <v>138357.34400000001</v>
      </c>
      <c r="U56" s="131">
        <f>T56/T$76</f>
        <v>0.20543349782741147</v>
      </c>
      <c r="V56" s="128">
        <v>348</v>
      </c>
      <c r="W56" s="129">
        <v>555780</v>
      </c>
      <c r="X56" s="129">
        <v>96702</v>
      </c>
      <c r="Y56" s="169">
        <v>66861.398000000001</v>
      </c>
      <c r="Z56" s="131">
        <f>Y56/Y$76</f>
        <v>0.10904113509076382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1541</v>
      </c>
      <c r="C76" s="9">
        <f>SUM(C$52:C$75)</f>
        <v>3847790</v>
      </c>
      <c r="D76" s="9">
        <f>SUM(D$52:D$75)</f>
        <v>750497</v>
      </c>
      <c r="E76" s="153">
        <f>SUM(E$52:E$75)</f>
        <v>765032.85499999998</v>
      </c>
      <c r="F76" s="67">
        <f t="shared" ref="F76" si="5">SUM(F$52:F$75)</f>
        <v>1</v>
      </c>
      <c r="G76" s="51">
        <f>SUM(G$52:G$75)</f>
        <v>1569</v>
      </c>
      <c r="H76" s="68">
        <f>SUM(H$52:H$75)</f>
        <v>3725904</v>
      </c>
      <c r="I76" s="68">
        <f>SUM(I$52:I$75)</f>
        <v>728575</v>
      </c>
      <c r="J76" s="163">
        <f>SUM(J$52:J$75)</f>
        <v>728857.81499999994</v>
      </c>
      <c r="K76" s="69">
        <f t="shared" ref="K76" si="6">SUM(K$52:K$75)</f>
        <v>1</v>
      </c>
      <c r="L76" s="132">
        <f>SUM(L$52:L$75)</f>
        <v>1628</v>
      </c>
      <c r="M76" s="133">
        <f>SUM(M$52:M$75)</f>
        <v>3720929</v>
      </c>
      <c r="N76" s="133">
        <f>SUM(N$52:N$75)</f>
        <v>722270</v>
      </c>
      <c r="O76" s="170">
        <f>SUM(O$52:O$75)</f>
        <v>697324.42099999997</v>
      </c>
      <c r="P76" s="135">
        <f t="shared" ref="P76" si="7">SUM(P$52:P$75)</f>
        <v>1</v>
      </c>
      <c r="Q76" s="132">
        <f>SUM(Q$52:Q$75)</f>
        <v>1717</v>
      </c>
      <c r="R76" s="133">
        <f>SUM(R$52:R$75)</f>
        <v>3654391</v>
      </c>
      <c r="S76" s="133">
        <f>SUM(S$52:S$75)</f>
        <v>707000</v>
      </c>
      <c r="T76" s="170">
        <f>SUM(T$52:T$75)</f>
        <v>673489.696</v>
      </c>
      <c r="U76" s="135">
        <f t="shared" ref="U76:Z76" si="8">SUM(U$52:U$75)</f>
        <v>1</v>
      </c>
      <c r="V76" s="132">
        <f t="shared" si="8"/>
        <v>1749</v>
      </c>
      <c r="W76" s="133">
        <f t="shared" si="8"/>
        <v>3564545</v>
      </c>
      <c r="X76" s="133">
        <f t="shared" si="8"/>
        <v>777346</v>
      </c>
      <c r="Y76" s="170">
        <f t="shared" si="8"/>
        <v>613175.91700000013</v>
      </c>
      <c r="Z76" s="135">
        <f t="shared" si="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1</v>
      </c>
      <c r="W92" s="137">
        <v>396</v>
      </c>
      <c r="X92" s="137">
        <v>102</v>
      </c>
      <c r="Y92" s="171">
        <v>25.695</v>
      </c>
      <c r="Z92" s="139">
        <f>Y92/Y$116</f>
        <v>1.9982276082731987E-4</v>
      </c>
    </row>
    <row r="93" spans="1:26" x14ac:dyDescent="0.2">
      <c r="A93" s="114" t="str">
        <f>$A$13</f>
        <v>2 – eher klein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>Y93/Y$116</f>
        <v>0</v>
      </c>
    </row>
    <row r="94" spans="1:26" x14ac:dyDescent="0.2">
      <c r="A94" s="114" t="str">
        <f>$A$14</f>
        <v>3 – mittel</v>
      </c>
      <c r="B94" s="36">
        <v>10</v>
      </c>
      <c r="C94" s="10">
        <v>88448</v>
      </c>
      <c r="D94" s="10">
        <v>45741</v>
      </c>
      <c r="E94" s="154">
        <v>39566.356</v>
      </c>
      <c r="F94" s="37">
        <f>E94/E$116</f>
        <v>0.29524902213166487</v>
      </c>
      <c r="G94" s="53">
        <v>6</v>
      </c>
      <c r="H94" s="54">
        <v>49252</v>
      </c>
      <c r="I94" s="54">
        <v>19059</v>
      </c>
      <c r="J94" s="164">
        <v>18294.392</v>
      </c>
      <c r="K94" s="56">
        <f>J94/J$116</f>
        <v>0.14373639796589463</v>
      </c>
      <c r="L94" s="136">
        <v>2</v>
      </c>
      <c r="M94" s="137">
        <v>16202</v>
      </c>
      <c r="N94" s="137">
        <v>7393</v>
      </c>
      <c r="O94" s="171">
        <v>7522.7690000000002</v>
      </c>
      <c r="P94" s="139">
        <f>O94/O$116</f>
        <v>6.3085070040875907E-2</v>
      </c>
      <c r="Q94" s="136">
        <v>5</v>
      </c>
      <c r="R94" s="137">
        <v>10613</v>
      </c>
      <c r="S94" s="137">
        <v>4568</v>
      </c>
      <c r="T94" s="171">
        <v>2982.9989999999998</v>
      </c>
      <c r="U94" s="139">
        <f>T94/T$116</f>
        <v>2.3806643509863071E-2</v>
      </c>
      <c r="V94" s="136">
        <v>10</v>
      </c>
      <c r="W94" s="137">
        <v>36409</v>
      </c>
      <c r="X94" s="137">
        <v>16605</v>
      </c>
      <c r="Y94" s="171">
        <v>12790.192999999999</v>
      </c>
      <c r="Z94" s="139">
        <f>Y94/Y$116</f>
        <v>9.9465720053483586E-2</v>
      </c>
    </row>
    <row r="95" spans="1:26" x14ac:dyDescent="0.2">
      <c r="A95" s="114" t="str">
        <f>$A$15</f>
        <v>4 – eher hoch</v>
      </c>
      <c r="B95" s="36">
        <v>8</v>
      </c>
      <c r="C95" s="10">
        <v>56965</v>
      </c>
      <c r="D95" s="10">
        <v>25752</v>
      </c>
      <c r="E95" s="154">
        <v>21841.345000000001</v>
      </c>
      <c r="F95" s="37">
        <f>E95/E$116</f>
        <v>0.16298280673838977</v>
      </c>
      <c r="G95" s="53">
        <v>9</v>
      </c>
      <c r="H95" s="54">
        <v>68169</v>
      </c>
      <c r="I95" s="54">
        <v>35301</v>
      </c>
      <c r="J95" s="164">
        <v>28003.062000000002</v>
      </c>
      <c r="K95" s="56">
        <f>J95/J$116</f>
        <v>0.2200160171431563</v>
      </c>
      <c r="L95" s="136">
        <v>7</v>
      </c>
      <c r="M95" s="137">
        <v>43646</v>
      </c>
      <c r="N95" s="137">
        <v>18825</v>
      </c>
      <c r="O95" s="171">
        <v>15355.299000000001</v>
      </c>
      <c r="P95" s="139">
        <f>O95/O$116</f>
        <v>0.12876775997157319</v>
      </c>
      <c r="Q95" s="136">
        <v>13</v>
      </c>
      <c r="R95" s="137">
        <v>68143</v>
      </c>
      <c r="S95" s="137">
        <v>28066</v>
      </c>
      <c r="T95" s="171">
        <v>22826.717000000001</v>
      </c>
      <c r="U95" s="139">
        <f>T95/T$116</f>
        <v>0.18217488980704691</v>
      </c>
      <c r="V95" s="136">
        <v>23</v>
      </c>
      <c r="W95" s="137">
        <v>186901</v>
      </c>
      <c r="X95" s="137">
        <v>84158</v>
      </c>
      <c r="Y95" s="171">
        <v>71350.75</v>
      </c>
      <c r="Z95" s="139">
        <f>Y95/Y$116</f>
        <v>0.55487463911655543</v>
      </c>
    </row>
    <row r="96" spans="1:26" x14ac:dyDescent="0.2">
      <c r="A96" s="114" t="str">
        <f>$A$16</f>
        <v>5 – hoch</v>
      </c>
      <c r="B96" s="36">
        <v>20</v>
      </c>
      <c r="C96" s="10">
        <v>180310</v>
      </c>
      <c r="D96" s="10">
        <v>84691</v>
      </c>
      <c r="E96" s="154">
        <v>72602.415999999997</v>
      </c>
      <c r="F96" s="37">
        <f>E96/E$116</f>
        <v>0.54176817112994535</v>
      </c>
      <c r="G96" s="53">
        <v>24</v>
      </c>
      <c r="H96" s="54">
        <v>204619</v>
      </c>
      <c r="I96" s="54">
        <v>95738</v>
      </c>
      <c r="J96" s="164">
        <v>80979.925000000003</v>
      </c>
      <c r="K96" s="56">
        <f>J96/J$116</f>
        <v>0.63624758489094912</v>
      </c>
      <c r="L96" s="136">
        <v>29</v>
      </c>
      <c r="M96" s="137">
        <v>248495</v>
      </c>
      <c r="N96" s="137">
        <v>117616</v>
      </c>
      <c r="O96" s="171">
        <v>96369.941000000006</v>
      </c>
      <c r="P96" s="139">
        <f>O96/O$116</f>
        <v>0.80814716998755087</v>
      </c>
      <c r="Q96" s="136">
        <v>25</v>
      </c>
      <c r="R96" s="137">
        <v>260624</v>
      </c>
      <c r="S96" s="137">
        <v>121278</v>
      </c>
      <c r="T96" s="171">
        <v>99491.4</v>
      </c>
      <c r="U96" s="139">
        <f>T96/T$116</f>
        <v>0.79401846668309006</v>
      </c>
      <c r="V96" s="136">
        <v>22</v>
      </c>
      <c r="W96" s="137">
        <v>133818</v>
      </c>
      <c r="X96" s="137">
        <v>58488</v>
      </c>
      <c r="Y96" s="171">
        <v>44422.317000000003</v>
      </c>
      <c r="Z96" s="139">
        <f>Y96/Y$116</f>
        <v>0.34545981806913351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12">SUM(U$92:U$115)</f>
        <v>1</v>
      </c>
      <c r="V116" s="140">
        <f t="shared" si="12"/>
        <v>56</v>
      </c>
      <c r="W116" s="141">
        <f t="shared" si="12"/>
        <v>357524</v>
      </c>
      <c r="X116" s="141">
        <f t="shared" si="12"/>
        <v>159353</v>
      </c>
      <c r="Y116" s="172">
        <f t="shared" si="12"/>
        <v>128588.95500000002</v>
      </c>
      <c r="Z116" s="143">
        <f t="shared" si="12"/>
        <v>0.99999999999999989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9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Translation!$A$53</f>
        <v>Risikodimension Sanierungsfähigkeit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Risikostufe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klein</v>
      </c>
      <c r="B12" s="30">
        <v>345</v>
      </c>
      <c r="C12" s="6">
        <v>1497074</v>
      </c>
      <c r="D12" s="6">
        <v>17791</v>
      </c>
      <c r="E12" s="150">
        <v>130752.511</v>
      </c>
      <c r="F12" s="31">
        <f>E12/E$36</f>
        <v>0.14475177619002513</v>
      </c>
      <c r="G12" s="41">
        <v>359</v>
      </c>
      <c r="H12" s="42">
        <v>1430335</v>
      </c>
      <c r="I12" s="42">
        <v>15996</v>
      </c>
      <c r="J12" s="160">
        <v>123845.329</v>
      </c>
      <c r="K12" s="44">
        <f>J12/J$36</f>
        <v>0.14399528987303833</v>
      </c>
      <c r="L12" s="76">
        <v>405</v>
      </c>
      <c r="M12" s="122">
        <v>1430311</v>
      </c>
      <c r="N12" s="122">
        <v>18238</v>
      </c>
      <c r="O12" s="167">
        <v>123241.91499999999</v>
      </c>
      <c r="P12" s="124">
        <f>O12/O$36</f>
        <v>0.14970533372987543</v>
      </c>
      <c r="Q12" s="76">
        <v>434</v>
      </c>
      <c r="R12" s="122">
        <v>1337289</v>
      </c>
      <c r="S12" s="122">
        <v>22225</v>
      </c>
      <c r="T12" s="167">
        <v>112814.959</v>
      </c>
      <c r="U12" s="124">
        <f>T12/T$36</f>
        <v>0.14031170053806943</v>
      </c>
      <c r="V12" s="76">
        <v>393</v>
      </c>
      <c r="W12" s="122">
        <v>1365797</v>
      </c>
      <c r="X12" s="122">
        <v>99999</v>
      </c>
      <c r="Y12" s="167">
        <v>49201.661</v>
      </c>
      <c r="Z12" s="124">
        <f>Y12/Y$36</f>
        <v>6.6002202534510362E-2</v>
      </c>
    </row>
    <row r="13" spans="1:26" x14ac:dyDescent="0.2">
      <c r="A13" s="114" t="str">
        <f>Translation!$A57</f>
        <v>2 – eher klein</v>
      </c>
      <c r="B13" s="30">
        <v>306</v>
      </c>
      <c r="C13" s="6">
        <v>682826</v>
      </c>
      <c r="D13" s="6">
        <v>65630</v>
      </c>
      <c r="E13" s="150">
        <v>84449.335999999996</v>
      </c>
      <c r="F13" s="31">
        <f>E13/E$36</f>
        <v>9.3491064076530295E-2</v>
      </c>
      <c r="G13" s="41">
        <v>329</v>
      </c>
      <c r="H13" s="42">
        <v>706494</v>
      </c>
      <c r="I13" s="42">
        <v>68849</v>
      </c>
      <c r="J13" s="160">
        <v>82044.312000000005</v>
      </c>
      <c r="K13" s="44">
        <f>J13/J$36</f>
        <v>9.5393137426071181E-2</v>
      </c>
      <c r="L13" s="76">
        <v>366</v>
      </c>
      <c r="M13" s="122">
        <v>796518</v>
      </c>
      <c r="N13" s="122">
        <v>86407</v>
      </c>
      <c r="O13" s="167">
        <v>85618.68</v>
      </c>
      <c r="P13" s="124">
        <f>O13/O$36</f>
        <v>0.1040033584589416</v>
      </c>
      <c r="Q13" s="76">
        <v>422</v>
      </c>
      <c r="R13" s="122">
        <v>817207</v>
      </c>
      <c r="S13" s="122">
        <v>84229</v>
      </c>
      <c r="T13" s="167">
        <v>85188.897999999986</v>
      </c>
      <c r="U13" s="124">
        <f>T13/T$36</f>
        <v>0.10595225359559046</v>
      </c>
      <c r="V13" s="76">
        <v>448</v>
      </c>
      <c r="W13" s="122">
        <v>768076</v>
      </c>
      <c r="X13" s="122">
        <v>89561</v>
      </c>
      <c r="Y13" s="167">
        <v>82903.798999999999</v>
      </c>
      <c r="Z13" s="124">
        <f>Y13/Y$36</f>
        <v>0.11121237009617088</v>
      </c>
    </row>
    <row r="14" spans="1:26" x14ac:dyDescent="0.2">
      <c r="A14" s="114" t="str">
        <f>Translation!$A58</f>
        <v>3 – mittel</v>
      </c>
      <c r="B14" s="30">
        <v>512</v>
      </c>
      <c r="C14" s="6">
        <v>952186</v>
      </c>
      <c r="D14" s="6">
        <v>225918</v>
      </c>
      <c r="E14" s="150">
        <v>211077.44799999997</v>
      </c>
      <c r="F14" s="31">
        <f>E14/E$36</f>
        <v>0.23367685467744223</v>
      </c>
      <c r="G14" s="41">
        <v>505</v>
      </c>
      <c r="H14" s="42">
        <v>818380</v>
      </c>
      <c r="I14" s="42">
        <v>170532</v>
      </c>
      <c r="J14" s="160">
        <v>166694.85399999999</v>
      </c>
      <c r="K14" s="44">
        <f>J14/J$36</f>
        <v>0.19381654533029502</v>
      </c>
      <c r="L14" s="76">
        <v>507</v>
      </c>
      <c r="M14" s="122">
        <v>792177</v>
      </c>
      <c r="N14" s="122">
        <v>174504</v>
      </c>
      <c r="O14" s="167">
        <v>170416.533</v>
      </c>
      <c r="P14" s="124">
        <f>O14/O$36</f>
        <v>0.20700963585200158</v>
      </c>
      <c r="Q14" s="76">
        <v>531</v>
      </c>
      <c r="R14" s="122">
        <v>879366</v>
      </c>
      <c r="S14" s="122">
        <v>189915</v>
      </c>
      <c r="T14" s="167">
        <v>190553.13999999998</v>
      </c>
      <c r="U14" s="124">
        <f>T14/T$36</f>
        <v>0.2369972506595408</v>
      </c>
      <c r="V14" s="76">
        <v>558</v>
      </c>
      <c r="W14" s="122">
        <v>755501</v>
      </c>
      <c r="X14" s="122">
        <v>157477</v>
      </c>
      <c r="Y14" s="167">
        <v>140338.245</v>
      </c>
      <c r="Z14" s="124">
        <f>Y14/Y$36</f>
        <v>0.18825854821908827</v>
      </c>
    </row>
    <row r="15" spans="1:26" x14ac:dyDescent="0.2">
      <c r="A15" s="114" t="str">
        <f>Translation!$A59</f>
        <v>4 – eher hoch</v>
      </c>
      <c r="B15" s="30">
        <v>396</v>
      </c>
      <c r="C15" s="6">
        <v>1034034</v>
      </c>
      <c r="D15" s="6">
        <v>573481</v>
      </c>
      <c r="E15" s="150">
        <v>460240.71499999997</v>
      </c>
      <c r="F15" s="31">
        <f>E15/E$36</f>
        <v>0.50951725868742315</v>
      </c>
      <c r="G15" s="41">
        <v>387</v>
      </c>
      <c r="H15" s="42">
        <v>1084224</v>
      </c>
      <c r="I15" s="42">
        <v>598069</v>
      </c>
      <c r="J15" s="160">
        <v>469793.28399999999</v>
      </c>
      <c r="K15" s="44">
        <f>J15/J$36</f>
        <v>0.5462298873620548</v>
      </c>
      <c r="L15" s="76">
        <v>366</v>
      </c>
      <c r="M15" s="122">
        <v>1009003</v>
      </c>
      <c r="N15" s="122">
        <v>565383</v>
      </c>
      <c r="O15" s="167">
        <v>427966.66399999999</v>
      </c>
      <c r="P15" s="124">
        <f>O15/O$36</f>
        <v>0.51986284260011273</v>
      </c>
      <c r="Q15" s="76">
        <v>360</v>
      </c>
      <c r="R15" s="122">
        <v>961767</v>
      </c>
      <c r="S15" s="122">
        <v>542433</v>
      </c>
      <c r="T15" s="167">
        <v>401807.26399999997</v>
      </c>
      <c r="U15" s="124">
        <f>T15/T$36</f>
        <v>0.49974100066276672</v>
      </c>
      <c r="V15" s="76">
        <v>389</v>
      </c>
      <c r="W15" s="122">
        <v>1031618</v>
      </c>
      <c r="X15" s="122">
        <v>563883</v>
      </c>
      <c r="Y15" s="167">
        <v>423727.34600000002</v>
      </c>
      <c r="Z15" s="124">
        <f>Y15/Y$36</f>
        <v>0.56841451165850987</v>
      </c>
    </row>
    <row r="16" spans="1:26" x14ac:dyDescent="0.2">
      <c r="A16" s="114" t="str">
        <f>Translation!$A60</f>
        <v>5 – hoch</v>
      </c>
      <c r="B16" s="30">
        <v>95</v>
      </c>
      <c r="C16" s="6">
        <v>9792</v>
      </c>
      <c r="D16" s="6">
        <v>34671</v>
      </c>
      <c r="E16" s="150">
        <v>16767.772999999997</v>
      </c>
      <c r="F16" s="31">
        <f>E16/E$36</f>
        <v>1.8563046368579077E-2</v>
      </c>
      <c r="G16" s="41">
        <v>102</v>
      </c>
      <c r="H16" s="42">
        <v>10661</v>
      </c>
      <c r="I16" s="42">
        <v>35379</v>
      </c>
      <c r="J16" s="160">
        <v>17687.36</v>
      </c>
      <c r="K16" s="44">
        <f>J16/J$36</f>
        <v>2.0565140008540681E-2</v>
      </c>
      <c r="L16" s="76">
        <v>99</v>
      </c>
      <c r="M16" s="122">
        <v>10146</v>
      </c>
      <c r="N16" s="122">
        <v>34069</v>
      </c>
      <c r="O16" s="167">
        <v>15986.162</v>
      </c>
      <c r="P16" s="124">
        <f>O16/O$36</f>
        <v>1.9418829359068732E-2</v>
      </c>
      <c r="Q16" s="76">
        <v>98</v>
      </c>
      <c r="R16" s="122">
        <v>8408</v>
      </c>
      <c r="S16" s="122">
        <v>30016</v>
      </c>
      <c r="T16" s="167">
        <v>13666.753999999999</v>
      </c>
      <c r="U16" s="124">
        <f>T16/T$36</f>
        <v>1.6997794544032607E-2</v>
      </c>
      <c r="V16" s="76">
        <v>117</v>
      </c>
      <c r="W16" s="122">
        <v>11756</v>
      </c>
      <c r="X16" s="122">
        <v>32412</v>
      </c>
      <c r="Y16" s="167">
        <v>49283.784</v>
      </c>
      <c r="Z16" s="124">
        <f>Y16/Y$36</f>
        <v>6.6112367491720683E-2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823229.95399999991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804031.0149999999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klein</v>
      </c>
      <c r="B52" s="33">
        <v>345</v>
      </c>
      <c r="C52" s="8">
        <v>1497074</v>
      </c>
      <c r="D52" s="8">
        <v>17791</v>
      </c>
      <c r="E52" s="152">
        <v>130752.511</v>
      </c>
      <c r="F52" s="34">
        <f>E52/E$76</f>
        <v>0.16996790207087592</v>
      </c>
      <c r="G52" s="47">
        <v>359</v>
      </c>
      <c r="H52" s="48">
        <v>1430335</v>
      </c>
      <c r="I52" s="48">
        <v>15996</v>
      </c>
      <c r="J52" s="162">
        <v>123845.329</v>
      </c>
      <c r="K52" s="50">
        <f>J52/J$76</f>
        <v>0.16900572820703227</v>
      </c>
      <c r="L52" s="128">
        <v>405</v>
      </c>
      <c r="M52" s="129">
        <v>1430311</v>
      </c>
      <c r="N52" s="129">
        <v>18238</v>
      </c>
      <c r="O52" s="169">
        <v>123241.91499999999</v>
      </c>
      <c r="P52" s="131">
        <f>O52/O$76</f>
        <v>0.17506402809805016</v>
      </c>
      <c r="Q52" s="128">
        <v>434</v>
      </c>
      <c r="R52" s="129">
        <v>1337289</v>
      </c>
      <c r="S52" s="129">
        <v>22225</v>
      </c>
      <c r="T52" s="169">
        <v>112814.959</v>
      </c>
      <c r="U52" s="131">
        <f>T52/T$76</f>
        <v>0.16621480675334152</v>
      </c>
      <c r="V52" s="128">
        <v>393</v>
      </c>
      <c r="W52" s="129">
        <v>1365797</v>
      </c>
      <c r="X52" s="129">
        <v>99999</v>
      </c>
      <c r="Y52" s="169">
        <v>49201.661</v>
      </c>
      <c r="Z52" s="131">
        <f>Y52/Y$76</f>
        <v>7.9787515311307303E-2</v>
      </c>
    </row>
    <row r="53" spans="1:26" x14ac:dyDescent="0.2">
      <c r="A53" s="114" t="str">
        <f>$A$13</f>
        <v>2 – eher klein</v>
      </c>
      <c r="B53" s="33">
        <v>305</v>
      </c>
      <c r="C53" s="8">
        <v>682366</v>
      </c>
      <c r="D53" s="8">
        <v>65511</v>
      </c>
      <c r="E53" s="152">
        <v>84419.645999999993</v>
      </c>
      <c r="F53" s="34">
        <f>E53/E$76</f>
        <v>0.10973884948325018</v>
      </c>
      <c r="G53" s="47">
        <v>326</v>
      </c>
      <c r="H53" s="48">
        <v>705007</v>
      </c>
      <c r="I53" s="48">
        <v>68341</v>
      </c>
      <c r="J53" s="162">
        <v>81859.679000000004</v>
      </c>
      <c r="K53" s="50">
        <f>J53/J$76</f>
        <v>0.11170994313551308</v>
      </c>
      <c r="L53" s="128">
        <v>364</v>
      </c>
      <c r="M53" s="129">
        <v>796062</v>
      </c>
      <c r="N53" s="129">
        <v>86267</v>
      </c>
      <c r="O53" s="169">
        <v>85583.582999999999</v>
      </c>
      <c r="P53" s="131">
        <f>O53/O$76</f>
        <v>0.12157070732829661</v>
      </c>
      <c r="Q53" s="128">
        <v>421</v>
      </c>
      <c r="R53" s="129">
        <v>816817</v>
      </c>
      <c r="S53" s="129">
        <v>84121</v>
      </c>
      <c r="T53" s="169">
        <v>85161.895999999993</v>
      </c>
      <c r="U53" s="131">
        <f>T53/T$76</f>
        <v>0.12547243922136395</v>
      </c>
      <c r="V53" s="128">
        <v>446</v>
      </c>
      <c r="W53" s="129">
        <v>767621</v>
      </c>
      <c r="X53" s="129">
        <v>89439</v>
      </c>
      <c r="Y53" s="169">
        <v>82872.206000000006</v>
      </c>
      <c r="Z53" s="131">
        <f>Y53/Y$76</f>
        <v>0.13438910944707363</v>
      </c>
    </row>
    <row r="54" spans="1:26" x14ac:dyDescent="0.2">
      <c r="A54" s="114" t="str">
        <f>$A$14</f>
        <v>3 – mittel</v>
      </c>
      <c r="B54" s="33">
        <v>508</v>
      </c>
      <c r="C54" s="8">
        <v>940017</v>
      </c>
      <c r="D54" s="8">
        <v>222084</v>
      </c>
      <c r="E54" s="152">
        <v>206940.76199999999</v>
      </c>
      <c r="F54" s="34">
        <f>E54/E$76</f>
        <v>0.26900659039801111</v>
      </c>
      <c r="G54" s="47">
        <v>500</v>
      </c>
      <c r="H54" s="48">
        <v>787876</v>
      </c>
      <c r="I54" s="48">
        <v>161335</v>
      </c>
      <c r="J54" s="162">
        <v>157723.242</v>
      </c>
      <c r="K54" s="50">
        <f>J54/J$76</f>
        <v>0.21523727688901353</v>
      </c>
      <c r="L54" s="128">
        <v>500</v>
      </c>
      <c r="M54" s="129">
        <v>755465</v>
      </c>
      <c r="N54" s="129">
        <v>163617</v>
      </c>
      <c r="O54" s="169">
        <v>159593.432</v>
      </c>
      <c r="P54" s="131">
        <f>O54/O$76</f>
        <v>0.22670102995326111</v>
      </c>
      <c r="Q54" s="128">
        <v>522</v>
      </c>
      <c r="R54" s="129">
        <v>818828</v>
      </c>
      <c r="S54" s="129">
        <v>171894</v>
      </c>
      <c r="T54" s="169">
        <v>173208.12299999999</v>
      </c>
      <c r="U54" s="131">
        <f>T54/T$76</f>
        <v>0.25519447906331294</v>
      </c>
      <c r="V54" s="128">
        <v>548</v>
      </c>
      <c r="W54" s="129">
        <v>700680</v>
      </c>
      <c r="X54" s="129">
        <v>141398</v>
      </c>
      <c r="Y54" s="169">
        <v>125699.348</v>
      </c>
      <c r="Z54" s="131">
        <f>Y54/Y$76</f>
        <v>0.2038394324364648</v>
      </c>
    </row>
    <row r="55" spans="1:26" x14ac:dyDescent="0.2">
      <c r="A55" s="114" t="str">
        <f>$A$15</f>
        <v>4 – eher hoch</v>
      </c>
      <c r="B55" s="33">
        <v>364</v>
      </c>
      <c r="C55" s="8">
        <v>720951</v>
      </c>
      <c r="D55" s="8">
        <v>421275</v>
      </c>
      <c r="E55" s="152">
        <v>330456.75099999999</v>
      </c>
      <c r="F55" s="34">
        <f>E55/E$76</f>
        <v>0.42956758736838202</v>
      </c>
      <c r="G55" s="47">
        <v>357</v>
      </c>
      <c r="H55" s="48">
        <v>794186</v>
      </c>
      <c r="I55" s="48">
        <v>457701</v>
      </c>
      <c r="J55" s="162">
        <v>351731.01199999999</v>
      </c>
      <c r="K55" s="50">
        <f>J55/J$76</f>
        <v>0.47999029350599415</v>
      </c>
      <c r="L55" s="128">
        <v>338</v>
      </c>
      <c r="M55" s="129">
        <v>737839</v>
      </c>
      <c r="N55" s="129">
        <v>432602</v>
      </c>
      <c r="O55" s="169">
        <v>319634.57699999999</v>
      </c>
      <c r="P55" s="131">
        <f>O55/O$76</f>
        <v>0.45403803218277139</v>
      </c>
      <c r="Q55" s="128">
        <v>330</v>
      </c>
      <c r="R55" s="129">
        <v>683333</v>
      </c>
      <c r="S55" s="129">
        <v>406751</v>
      </c>
      <c r="T55" s="169">
        <v>294006.32699999999</v>
      </c>
      <c r="U55" s="131">
        <f>T55/T$76</f>
        <v>0.43317132107068118</v>
      </c>
      <c r="V55" s="128">
        <v>346</v>
      </c>
      <c r="W55" s="129">
        <v>728796</v>
      </c>
      <c r="X55" s="129">
        <v>420481</v>
      </c>
      <c r="Y55" s="169">
        <v>309718.20400000003</v>
      </c>
      <c r="Z55" s="131">
        <f>Y55/Y$76</f>
        <v>0.50225227038251008</v>
      </c>
    </row>
    <row r="56" spans="1:26" x14ac:dyDescent="0.2">
      <c r="A56" s="114" t="str">
        <f>$A$16</f>
        <v>5 – hoch</v>
      </c>
      <c r="B56" s="33">
        <v>94</v>
      </c>
      <c r="C56" s="8">
        <v>9781</v>
      </c>
      <c r="D56" s="8">
        <v>34646</v>
      </c>
      <c r="E56" s="152">
        <v>16707.995999999999</v>
      </c>
      <c r="F56" s="34">
        <f>E56/E$76</f>
        <v>2.171907067948077E-2</v>
      </c>
      <c r="G56" s="47">
        <v>101</v>
      </c>
      <c r="H56" s="48">
        <v>10650</v>
      </c>
      <c r="I56" s="48">
        <v>35354</v>
      </c>
      <c r="J56" s="162">
        <v>17628.498</v>
      </c>
      <c r="K56" s="50">
        <f>J56/J$76</f>
        <v>2.4056758262446958E-2</v>
      </c>
      <c r="L56" s="128">
        <v>98</v>
      </c>
      <c r="M56" s="129">
        <v>10135</v>
      </c>
      <c r="N56" s="129">
        <v>34043</v>
      </c>
      <c r="O56" s="169">
        <v>15928.438</v>
      </c>
      <c r="P56" s="131">
        <f>O56/O$76</f>
        <v>2.2626202437620757E-2</v>
      </c>
      <c r="Q56" s="128">
        <v>95</v>
      </c>
      <c r="R56" s="129">
        <v>8390</v>
      </c>
      <c r="S56" s="129">
        <v>29915</v>
      </c>
      <c r="T56" s="169">
        <v>13538.593999999999</v>
      </c>
      <c r="U56" s="131">
        <f>T56/T$76</f>
        <v>1.9946953891300433E-2</v>
      </c>
      <c r="V56" s="128">
        <v>114</v>
      </c>
      <c r="W56" s="129">
        <v>11738</v>
      </c>
      <c r="X56" s="129">
        <v>32310</v>
      </c>
      <c r="Y56" s="169">
        <v>49167.224999999999</v>
      </c>
      <c r="Z56" s="131">
        <f>Y56/Y$76</f>
        <v>7.9731672422644256E-2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x14ac:dyDescent="0.2">
      <c r="A93" s="114" t="str">
        <f>$A$13</f>
        <v>2 – eher klein</v>
      </c>
      <c r="B93" s="36">
        <v>1</v>
      </c>
      <c r="C93" s="10">
        <v>460</v>
      </c>
      <c r="D93" s="10">
        <v>119</v>
      </c>
      <c r="E93" s="154">
        <v>29.69</v>
      </c>
      <c r="F93" s="37">
        <f>E93/E$116</f>
        <v>2.2155043712110184E-4</v>
      </c>
      <c r="G93" s="53">
        <v>3</v>
      </c>
      <c r="H93" s="54">
        <v>1487</v>
      </c>
      <c r="I93" s="54">
        <v>508</v>
      </c>
      <c r="J93" s="164">
        <v>184.63300000000001</v>
      </c>
      <c r="K93" s="56">
        <f>J93/J$116</f>
        <v>1.4506348374757154E-3</v>
      </c>
      <c r="L93" s="136">
        <v>2</v>
      </c>
      <c r="M93" s="137">
        <v>456</v>
      </c>
      <c r="N93" s="137">
        <v>140</v>
      </c>
      <c r="O93" s="171">
        <v>35.097000000000001</v>
      </c>
      <c r="P93" s="139">
        <f>O93/O$116</f>
        <v>2.9431937937009916E-4</v>
      </c>
      <c r="Q93" s="136">
        <v>1</v>
      </c>
      <c r="R93" s="137">
        <v>390</v>
      </c>
      <c r="S93" s="137">
        <v>108</v>
      </c>
      <c r="T93" s="171">
        <v>27.001999999999999</v>
      </c>
      <c r="U93" s="139">
        <f>T93/T$116</f>
        <v>2.154968835233678E-4</v>
      </c>
      <c r="V93" s="136">
        <v>2</v>
      </c>
      <c r="W93" s="137">
        <v>455</v>
      </c>
      <c r="X93" s="137">
        <v>122</v>
      </c>
      <c r="Y93" s="171">
        <v>31.593</v>
      </c>
      <c r="Z93" s="139">
        <f>Y93/Y$116</f>
        <v>2.452945211710492E-4</v>
      </c>
    </row>
    <row r="94" spans="1:26" x14ac:dyDescent="0.2">
      <c r="A94" s="114" t="str">
        <f>$A$14</f>
        <v>3 – mittel</v>
      </c>
      <c r="B94" s="36">
        <v>4</v>
      </c>
      <c r="C94" s="10">
        <v>12169</v>
      </c>
      <c r="D94" s="10">
        <v>3834</v>
      </c>
      <c r="E94" s="154">
        <v>4136.6859999999997</v>
      </c>
      <c r="F94" s="37">
        <f>E94/E$116</f>
        <v>3.086846047601018E-2</v>
      </c>
      <c r="G94" s="53">
        <v>5</v>
      </c>
      <c r="H94" s="54">
        <v>30504</v>
      </c>
      <c r="I94" s="54">
        <v>9197</v>
      </c>
      <c r="J94" s="164">
        <v>8971.6119999999992</v>
      </c>
      <c r="K94" s="56">
        <f>J94/J$116</f>
        <v>7.0488660832652761E-2</v>
      </c>
      <c r="L94" s="136">
        <v>7</v>
      </c>
      <c r="M94" s="137">
        <v>36712</v>
      </c>
      <c r="N94" s="137">
        <v>10887</v>
      </c>
      <c r="O94" s="171">
        <v>10823.101000000001</v>
      </c>
      <c r="P94" s="139">
        <f>O94/O$116</f>
        <v>9.0761272165139462E-2</v>
      </c>
      <c r="Q94" s="136">
        <v>9</v>
      </c>
      <c r="R94" s="137">
        <v>60538</v>
      </c>
      <c r="S94" s="137">
        <v>18021</v>
      </c>
      <c r="T94" s="171">
        <v>17345.017</v>
      </c>
      <c r="U94" s="139">
        <f>T94/T$116</f>
        <v>0.13842667610398615</v>
      </c>
      <c r="V94" s="136">
        <v>10</v>
      </c>
      <c r="W94" s="137">
        <v>54821</v>
      </c>
      <c r="X94" s="137">
        <v>16079</v>
      </c>
      <c r="Y94" s="171">
        <v>14638.897000000001</v>
      </c>
      <c r="Z94" s="139">
        <f>Y94/Y$116</f>
        <v>0.11365939385583228</v>
      </c>
    </row>
    <row r="95" spans="1:26" x14ac:dyDescent="0.2">
      <c r="A95" s="114" t="str">
        <f>$A$15</f>
        <v>4 – eher hoch</v>
      </c>
      <c r="B95" s="36">
        <v>32</v>
      </c>
      <c r="C95" s="10">
        <v>313083</v>
      </c>
      <c r="D95" s="10">
        <v>152206</v>
      </c>
      <c r="E95" s="154">
        <v>129783.96400000001</v>
      </c>
      <c r="F95" s="37">
        <f>E95/E$116</f>
        <v>0.9684639257497254</v>
      </c>
      <c r="G95" s="53">
        <v>30</v>
      </c>
      <c r="H95" s="54">
        <v>290038</v>
      </c>
      <c r="I95" s="54">
        <v>140368</v>
      </c>
      <c r="J95" s="164">
        <v>118062.272</v>
      </c>
      <c r="K95" s="56">
        <f>J95/J$116</f>
        <v>0.92759823408997144</v>
      </c>
      <c r="L95" s="136">
        <v>28</v>
      </c>
      <c r="M95" s="137">
        <v>271164</v>
      </c>
      <c r="N95" s="137">
        <v>132781</v>
      </c>
      <c r="O95" s="171">
        <v>108332.087</v>
      </c>
      <c r="P95" s="139">
        <f>O95/O$116</f>
        <v>0.90846034167329359</v>
      </c>
      <c r="Q95" s="136">
        <v>30</v>
      </c>
      <c r="R95" s="137">
        <v>278434</v>
      </c>
      <c r="S95" s="137">
        <v>135682</v>
      </c>
      <c r="T95" s="171">
        <v>107800.93700000001</v>
      </c>
      <c r="U95" s="139">
        <f>T95/T$116</f>
        <v>0.8603350109028558</v>
      </c>
      <c r="V95" s="136">
        <v>43</v>
      </c>
      <c r="W95" s="137">
        <v>302822</v>
      </c>
      <c r="X95" s="137">
        <v>143402</v>
      </c>
      <c r="Y95" s="171">
        <v>114009.14200000001</v>
      </c>
      <c r="Z95" s="139">
        <f>Y95/Y$116</f>
        <v>0.88519032367968087</v>
      </c>
    </row>
    <row r="96" spans="1:26" x14ac:dyDescent="0.2">
      <c r="A96" s="114" t="str">
        <f>$A$16</f>
        <v>5 – hoch</v>
      </c>
      <c r="B96" s="36">
        <v>1</v>
      </c>
      <c r="C96" s="10">
        <v>11</v>
      </c>
      <c r="D96" s="10">
        <v>25</v>
      </c>
      <c r="E96" s="154">
        <v>59.777000000000001</v>
      </c>
      <c r="F96" s="37">
        <f>E96/E$116</f>
        <v>4.4606333714341883E-4</v>
      </c>
      <c r="G96" s="53">
        <v>1</v>
      </c>
      <c r="H96" s="54">
        <v>11</v>
      </c>
      <c r="I96" s="54">
        <v>25</v>
      </c>
      <c r="J96" s="164">
        <v>58.862000000000002</v>
      </c>
      <c r="K96" s="56">
        <f>J96/J$116</f>
        <v>4.6247023990021046E-4</v>
      </c>
      <c r="L96" s="136">
        <v>1</v>
      </c>
      <c r="M96" s="137">
        <v>11</v>
      </c>
      <c r="N96" s="137">
        <v>26</v>
      </c>
      <c r="O96" s="171">
        <v>57.723999999999997</v>
      </c>
      <c r="P96" s="139">
        <f>O96/O$116</f>
        <v>4.8406678219675762E-4</v>
      </c>
      <c r="Q96" s="136">
        <v>3</v>
      </c>
      <c r="R96" s="137">
        <v>18</v>
      </c>
      <c r="S96" s="137">
        <v>101</v>
      </c>
      <c r="T96" s="171">
        <v>128.16</v>
      </c>
      <c r="U96" s="139">
        <f>T96/T$116</f>
        <v>1.0228161096346498E-3</v>
      </c>
      <c r="V96" s="136">
        <v>3</v>
      </c>
      <c r="W96" s="137">
        <v>18</v>
      </c>
      <c r="X96" s="137">
        <v>102</v>
      </c>
      <c r="Y96" s="171">
        <v>116.559</v>
      </c>
      <c r="Z96" s="139">
        <f>Y96/Y$116</f>
        <v>9.0498794331580806E-4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1.0000000000000002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0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Translation!$A$54</f>
        <v>Risikodimension Anlagestrategie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Risikostufe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klein</v>
      </c>
      <c r="B12" s="30">
        <v>205</v>
      </c>
      <c r="C12" s="6">
        <v>1101376</v>
      </c>
      <c r="D12" s="6">
        <v>7659</v>
      </c>
      <c r="E12" s="150">
        <v>108036.177</v>
      </c>
      <c r="F12" s="31">
        <f>E12/E$36</f>
        <v>0.11960327487347408</v>
      </c>
      <c r="G12" s="41">
        <v>222</v>
      </c>
      <c r="H12" s="42">
        <v>1081631</v>
      </c>
      <c r="I12" s="42">
        <v>7386</v>
      </c>
      <c r="J12" s="160">
        <v>106132.03</v>
      </c>
      <c r="K12" s="44">
        <f>J12/J$36</f>
        <v>0.12339999052095052</v>
      </c>
      <c r="L12" s="76">
        <v>246</v>
      </c>
      <c r="M12" s="122">
        <v>1113973</v>
      </c>
      <c r="N12" s="122">
        <v>16978</v>
      </c>
      <c r="O12" s="167">
        <v>105275.054</v>
      </c>
      <c r="P12" s="124">
        <f>O12/O$36</f>
        <v>0.12788049498014256</v>
      </c>
      <c r="Q12" s="76">
        <v>298</v>
      </c>
      <c r="R12" s="122">
        <v>1135598</v>
      </c>
      <c r="S12" s="122">
        <v>25250</v>
      </c>
      <c r="T12" s="167">
        <v>115090.25</v>
      </c>
      <c r="U12" s="124">
        <f>T12/T$36</f>
        <v>0.14314155530430625</v>
      </c>
      <c r="V12" s="76">
        <v>0</v>
      </c>
      <c r="W12" s="122">
        <v>0</v>
      </c>
      <c r="X12" s="122">
        <v>0</v>
      </c>
      <c r="Y12" s="167">
        <v>0</v>
      </c>
      <c r="Z12" s="124">
        <f>Y12/Y$36</f>
        <v>0</v>
      </c>
    </row>
    <row r="13" spans="1:26" x14ac:dyDescent="0.2">
      <c r="A13" s="114" t="str">
        <f>Translation!$A57</f>
        <v>2 – eher klein</v>
      </c>
      <c r="B13" s="30">
        <v>189</v>
      </c>
      <c r="C13" s="6">
        <v>228801</v>
      </c>
      <c r="D13" s="6">
        <v>79255</v>
      </c>
      <c r="E13" s="150">
        <v>59624.810000000005</v>
      </c>
      <c r="F13" s="31">
        <f>E13/E$36</f>
        <v>6.6008653191316338E-2</v>
      </c>
      <c r="G13" s="41">
        <v>221</v>
      </c>
      <c r="H13" s="42">
        <v>231053</v>
      </c>
      <c r="I13" s="42">
        <v>87285</v>
      </c>
      <c r="J13" s="160">
        <v>64738.623000000007</v>
      </c>
      <c r="K13" s="44">
        <f>J13/J$36</f>
        <v>7.5271767293430547E-2</v>
      </c>
      <c r="L13" s="76">
        <v>254</v>
      </c>
      <c r="M13" s="122">
        <v>263814</v>
      </c>
      <c r="N13" s="122">
        <v>90683</v>
      </c>
      <c r="O13" s="167">
        <v>67922.933999999994</v>
      </c>
      <c r="P13" s="124">
        <f>O13/O$36</f>
        <v>8.2507850534311325E-2</v>
      </c>
      <c r="Q13" s="76">
        <v>383</v>
      </c>
      <c r="R13" s="122">
        <v>387252</v>
      </c>
      <c r="S13" s="122">
        <v>116343</v>
      </c>
      <c r="T13" s="167">
        <v>88748.237999999998</v>
      </c>
      <c r="U13" s="124">
        <f>T13/T$36</f>
        <v>0.11037912262625837</v>
      </c>
      <c r="V13" s="76">
        <v>253</v>
      </c>
      <c r="W13" s="122">
        <v>1135931</v>
      </c>
      <c r="X13" s="122">
        <v>105202</v>
      </c>
      <c r="Y13" s="167">
        <v>52115.001000000004</v>
      </c>
      <c r="Z13" s="124">
        <f>Y13/Y$36</f>
        <v>6.9910340040922808E-2</v>
      </c>
    </row>
    <row r="14" spans="1:26" x14ac:dyDescent="0.2">
      <c r="A14" s="114" t="str">
        <f>Translation!$A58</f>
        <v>3 – mittel</v>
      </c>
      <c r="B14" s="30">
        <v>627</v>
      </c>
      <c r="C14" s="6">
        <v>1201217</v>
      </c>
      <c r="D14" s="6">
        <v>378795</v>
      </c>
      <c r="E14" s="150">
        <v>322752.408</v>
      </c>
      <c r="F14" s="31">
        <f>E14/E$36</f>
        <v>0.35730850574340162</v>
      </c>
      <c r="G14" s="41">
        <v>620</v>
      </c>
      <c r="H14" s="42">
        <v>1191865</v>
      </c>
      <c r="I14" s="42">
        <v>369647</v>
      </c>
      <c r="J14" s="160">
        <v>310926.44900000002</v>
      </c>
      <c r="K14" s="44">
        <f>J14/J$36</f>
        <v>0.36151500031906303</v>
      </c>
      <c r="L14" s="76">
        <v>694</v>
      </c>
      <c r="M14" s="122">
        <v>1380206</v>
      </c>
      <c r="N14" s="122">
        <v>450857</v>
      </c>
      <c r="O14" s="167">
        <v>364267.58500000002</v>
      </c>
      <c r="P14" s="124">
        <f>O14/O$36</f>
        <v>0.44248582456220975</v>
      </c>
      <c r="Q14" s="76">
        <v>761</v>
      </c>
      <c r="R14" s="122">
        <v>1453797</v>
      </c>
      <c r="S14" s="122">
        <v>490630</v>
      </c>
      <c r="T14" s="167">
        <v>394417.06100000005</v>
      </c>
      <c r="U14" s="124">
        <f>T14/T$36</f>
        <v>0.4905495604544558</v>
      </c>
      <c r="V14" s="76">
        <v>902</v>
      </c>
      <c r="W14" s="122">
        <v>1324599</v>
      </c>
      <c r="X14" s="122">
        <v>458948</v>
      </c>
      <c r="Y14" s="167">
        <v>355460.17100000003</v>
      </c>
      <c r="Z14" s="124">
        <f>Y14/Y$36</f>
        <v>0.47683662954577261</v>
      </c>
    </row>
    <row r="15" spans="1:26" x14ac:dyDescent="0.2">
      <c r="A15" s="114" t="str">
        <f>Translation!$A59</f>
        <v>4 – eher hoch</v>
      </c>
      <c r="B15" s="30">
        <v>475</v>
      </c>
      <c r="C15" s="6">
        <v>1342064</v>
      </c>
      <c r="D15" s="6">
        <v>361641</v>
      </c>
      <c r="E15" s="150">
        <v>318258.342</v>
      </c>
      <c r="F15" s="31">
        <f>E15/E$36</f>
        <v>0.35233327405691262</v>
      </c>
      <c r="G15" s="41">
        <v>475</v>
      </c>
      <c r="H15" s="42">
        <v>1273532</v>
      </c>
      <c r="I15" s="42">
        <v>338136</v>
      </c>
      <c r="J15" s="160">
        <v>293212.549</v>
      </c>
      <c r="K15" s="44">
        <f>J15/J$36</f>
        <v>0.34091900218269394</v>
      </c>
      <c r="L15" s="76">
        <v>442</v>
      </c>
      <c r="M15" s="122">
        <v>1039728</v>
      </c>
      <c r="N15" s="122">
        <v>238286</v>
      </c>
      <c r="O15" s="167">
        <v>205574.913</v>
      </c>
      <c r="P15" s="124">
        <f>O15/O$36</f>
        <v>0.24971748416238992</v>
      </c>
      <c r="Q15" s="76">
        <v>340</v>
      </c>
      <c r="R15" s="122">
        <v>939067</v>
      </c>
      <c r="S15" s="122">
        <v>209910</v>
      </c>
      <c r="T15" s="167">
        <v>179693.97099999999</v>
      </c>
      <c r="U15" s="124">
        <f>T15/T$36</f>
        <v>0.22349134255722705</v>
      </c>
      <c r="V15" s="76">
        <v>645</v>
      </c>
      <c r="W15" s="122">
        <v>1150596</v>
      </c>
      <c r="X15" s="122">
        <v>282800</v>
      </c>
      <c r="Y15" s="167">
        <v>250182.68600000002</v>
      </c>
      <c r="Z15" s="124">
        <f>Y15/Y$36</f>
        <v>0.33561078988776033</v>
      </c>
    </row>
    <row r="16" spans="1:26" x14ac:dyDescent="0.2">
      <c r="A16" s="114" t="str">
        <f>Translation!$A60</f>
        <v>5 – hoch</v>
      </c>
      <c r="B16" s="30">
        <v>158</v>
      </c>
      <c r="C16" s="6">
        <v>302454</v>
      </c>
      <c r="D16" s="6">
        <v>90141</v>
      </c>
      <c r="E16" s="150">
        <v>94616.046000000002</v>
      </c>
      <c r="F16" s="31">
        <f>E16/E$36</f>
        <v>0.10474629213489541</v>
      </c>
      <c r="G16" s="41">
        <v>144</v>
      </c>
      <c r="H16" s="42">
        <v>272013</v>
      </c>
      <c r="I16" s="42">
        <v>86371</v>
      </c>
      <c r="J16" s="160">
        <v>85055.487999999998</v>
      </c>
      <c r="K16" s="44">
        <f>J16/J$36</f>
        <v>9.8894239683861893E-2</v>
      </c>
      <c r="L16" s="76">
        <v>107</v>
      </c>
      <c r="M16" s="122">
        <v>240434</v>
      </c>
      <c r="N16" s="122">
        <v>81797</v>
      </c>
      <c r="O16" s="167">
        <v>80189.468000000008</v>
      </c>
      <c r="P16" s="124">
        <f>O16/O$36</f>
        <v>9.740834576094641E-2</v>
      </c>
      <c r="Q16" s="76">
        <v>63</v>
      </c>
      <c r="R16" s="122">
        <v>88323</v>
      </c>
      <c r="S16" s="122">
        <v>26685</v>
      </c>
      <c r="T16" s="167">
        <v>26081.494999999999</v>
      </c>
      <c r="U16" s="124">
        <f>T16/T$36</f>
        <v>3.2438419057752389E-2</v>
      </c>
      <c r="V16" s="76">
        <v>105</v>
      </c>
      <c r="W16" s="122">
        <v>321622</v>
      </c>
      <c r="X16" s="122">
        <v>96382</v>
      </c>
      <c r="Y16" s="167">
        <v>87696.976999999999</v>
      </c>
      <c r="Z16" s="124">
        <f>Y16/Y$36</f>
        <v>0.11764224052554438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1.0000000000000002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804031.01500000013</v>
      </c>
      <c r="U36" s="127">
        <f>SUM(U$12:U$35)</f>
        <v>0.99999999999999978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klein</v>
      </c>
      <c r="B52" s="33">
        <v>204</v>
      </c>
      <c r="C52" s="8">
        <v>1101365</v>
      </c>
      <c r="D52" s="8">
        <v>7634</v>
      </c>
      <c r="E52" s="152">
        <v>107976.4</v>
      </c>
      <c r="F52" s="34">
        <f>E52/E$76</f>
        <v>0.14036076279380766</v>
      </c>
      <c r="G52" s="47">
        <v>221</v>
      </c>
      <c r="H52" s="48">
        <v>1081620</v>
      </c>
      <c r="I52" s="48">
        <v>7361</v>
      </c>
      <c r="J52" s="162">
        <v>106073.16800000001</v>
      </c>
      <c r="K52" s="50">
        <f>J52/J$76</f>
        <v>0.14475291999964626</v>
      </c>
      <c r="L52" s="128">
        <v>245</v>
      </c>
      <c r="M52" s="129">
        <v>1113962</v>
      </c>
      <c r="N52" s="129">
        <v>16952</v>
      </c>
      <c r="O52" s="169">
        <v>105217.33</v>
      </c>
      <c r="P52" s="131">
        <f>O52/O$76</f>
        <v>0.14946026776297508</v>
      </c>
      <c r="Q52" s="128">
        <v>295</v>
      </c>
      <c r="R52" s="129">
        <v>1135580</v>
      </c>
      <c r="S52" s="129">
        <v>25149</v>
      </c>
      <c r="T52" s="169">
        <v>114962.09</v>
      </c>
      <c r="U52" s="131">
        <f>T52/T$76</f>
        <v>0.16937826102751369</v>
      </c>
      <c r="V52" s="128">
        <v>0</v>
      </c>
      <c r="W52" s="129">
        <v>0</v>
      </c>
      <c r="X52" s="129">
        <v>0</v>
      </c>
      <c r="Y52" s="169">
        <v>0</v>
      </c>
      <c r="Z52" s="131">
        <f>Y52/Y$76</f>
        <v>0</v>
      </c>
    </row>
    <row r="53" spans="1:26" x14ac:dyDescent="0.2">
      <c r="A53" s="114" t="str">
        <f>$A$13</f>
        <v>2 – eher klein</v>
      </c>
      <c r="B53" s="33">
        <v>184</v>
      </c>
      <c r="C53" s="8">
        <v>211085</v>
      </c>
      <c r="D53" s="8">
        <v>69717</v>
      </c>
      <c r="E53" s="152">
        <v>51634.262000000002</v>
      </c>
      <c r="F53" s="34">
        <f>E53/E$76</f>
        <v>6.7120448548157907E-2</v>
      </c>
      <c r="G53" s="47">
        <v>216</v>
      </c>
      <c r="H53" s="48">
        <v>213333</v>
      </c>
      <c r="I53" s="48">
        <v>78100</v>
      </c>
      <c r="J53" s="162">
        <v>57057.122000000003</v>
      </c>
      <c r="K53" s="50">
        <f>J53/J$76</f>
        <v>7.7863093673944547E-2</v>
      </c>
      <c r="L53" s="128">
        <v>248</v>
      </c>
      <c r="M53" s="129">
        <v>246477</v>
      </c>
      <c r="N53" s="129">
        <v>81845</v>
      </c>
      <c r="O53" s="169">
        <v>60638.413999999997</v>
      </c>
      <c r="P53" s="131">
        <f>O53/O$76</f>
        <v>8.6136319873942213E-2</v>
      </c>
      <c r="Q53" s="128">
        <v>373</v>
      </c>
      <c r="R53" s="129">
        <v>350439</v>
      </c>
      <c r="S53" s="129">
        <v>101946</v>
      </c>
      <c r="T53" s="169">
        <v>76806.157999999996</v>
      </c>
      <c r="U53" s="131">
        <f>T53/T$76</f>
        <v>0.11316159508099112</v>
      </c>
      <c r="V53" s="128">
        <v>246</v>
      </c>
      <c r="W53" s="129">
        <v>1135211</v>
      </c>
      <c r="X53" s="129">
        <v>104759</v>
      </c>
      <c r="Y53" s="169">
        <v>51711.68</v>
      </c>
      <c r="Z53" s="131">
        <f>Y53/Y$76</f>
        <v>8.3857869346594283E-2</v>
      </c>
    </row>
    <row r="54" spans="1:26" x14ac:dyDescent="0.2">
      <c r="A54" s="114" t="str">
        <f>$A$14</f>
        <v>3 – mittel</v>
      </c>
      <c r="B54" s="33">
        <v>608</v>
      </c>
      <c r="C54" s="8">
        <v>1034947</v>
      </c>
      <c r="D54" s="8">
        <v>296733</v>
      </c>
      <c r="E54" s="152">
        <v>252085.98</v>
      </c>
      <c r="F54" s="34">
        <f>E54/E$76</f>
        <v>0.32769179600750298</v>
      </c>
      <c r="G54" s="47">
        <v>602</v>
      </c>
      <c r="H54" s="48">
        <v>1070854</v>
      </c>
      <c r="I54" s="48">
        <v>318928</v>
      </c>
      <c r="J54" s="162">
        <v>265741.61300000001</v>
      </c>
      <c r="K54" s="50">
        <f>J54/J$76</f>
        <v>0.36264472130375097</v>
      </c>
      <c r="L54" s="128">
        <v>673</v>
      </c>
      <c r="M54" s="129">
        <v>1218792</v>
      </c>
      <c r="N54" s="129">
        <v>378959</v>
      </c>
      <c r="O54" s="169">
        <v>304123.31</v>
      </c>
      <c r="P54" s="131">
        <f>O54/O$76</f>
        <v>0.43200441738601686</v>
      </c>
      <c r="Q54" s="128">
        <v>739</v>
      </c>
      <c r="R54" s="129">
        <v>1267357</v>
      </c>
      <c r="S54" s="129">
        <v>405094</v>
      </c>
      <c r="T54" s="169">
        <v>323162.51400000002</v>
      </c>
      <c r="U54" s="131">
        <f>T54/T$76</f>
        <v>0.47612830151747898</v>
      </c>
      <c r="V54" s="128">
        <v>875</v>
      </c>
      <c r="W54" s="129">
        <v>1167912</v>
      </c>
      <c r="X54" s="129">
        <v>397134</v>
      </c>
      <c r="Y54" s="169">
        <v>303861.55800000002</v>
      </c>
      <c r="Z54" s="131">
        <f>Y54/Y$76</f>
        <v>0.49275488304028375</v>
      </c>
    </row>
    <row r="55" spans="1:26" x14ac:dyDescent="0.2">
      <c r="A55" s="114" t="str">
        <f>$A$15</f>
        <v>4 – eher hoch</v>
      </c>
      <c r="B55" s="33">
        <v>462</v>
      </c>
      <c r="C55" s="8">
        <v>1200338</v>
      </c>
      <c r="D55" s="8">
        <v>297082</v>
      </c>
      <c r="E55" s="152">
        <v>262964.978</v>
      </c>
      <c r="F55" s="34">
        <f>E55/E$76</f>
        <v>0.34183363123920463</v>
      </c>
      <c r="G55" s="47">
        <v>460</v>
      </c>
      <c r="H55" s="48">
        <v>1090234</v>
      </c>
      <c r="I55" s="48">
        <v>247967</v>
      </c>
      <c r="J55" s="162">
        <v>218860.36900000001</v>
      </c>
      <c r="K55" s="50">
        <f>J55/J$76</f>
        <v>0.29866815597465762</v>
      </c>
      <c r="L55" s="128">
        <v>433</v>
      </c>
      <c r="M55" s="129">
        <v>956418</v>
      </c>
      <c r="N55" s="129">
        <v>198243</v>
      </c>
      <c r="O55" s="169">
        <v>172625.34099999999</v>
      </c>
      <c r="P55" s="131">
        <f>O55/O$76</f>
        <v>0.24521273908523317</v>
      </c>
      <c r="Q55" s="128">
        <v>332</v>
      </c>
      <c r="R55" s="129">
        <v>822958</v>
      </c>
      <c r="S55" s="129">
        <v>156032</v>
      </c>
      <c r="T55" s="169">
        <v>137717.64199999999</v>
      </c>
      <c r="U55" s="131">
        <f>T55/T$76</f>
        <v>0.20290492904895588</v>
      </c>
      <c r="V55" s="128">
        <v>626</v>
      </c>
      <c r="W55" s="129">
        <v>1023917</v>
      </c>
      <c r="X55" s="129">
        <v>219220</v>
      </c>
      <c r="Y55" s="169">
        <v>200295.04800000001</v>
      </c>
      <c r="Z55" s="131">
        <f>Y55/Y$76</f>
        <v>0.32480700619190539</v>
      </c>
    </row>
    <row r="56" spans="1:26" x14ac:dyDescent="0.2">
      <c r="A56" s="114" t="str">
        <f>$A$16</f>
        <v>5 – hoch</v>
      </c>
      <c r="B56" s="33">
        <v>158</v>
      </c>
      <c r="C56" s="8">
        <v>302454</v>
      </c>
      <c r="D56" s="8">
        <v>90141</v>
      </c>
      <c r="E56" s="152">
        <v>94616.046000000002</v>
      </c>
      <c r="F56" s="34">
        <f>E56/E$76</f>
        <v>0.12299336141132687</v>
      </c>
      <c r="G56" s="47">
        <v>144</v>
      </c>
      <c r="H56" s="48">
        <v>272013</v>
      </c>
      <c r="I56" s="48">
        <v>86371</v>
      </c>
      <c r="J56" s="162">
        <v>85055.487999999998</v>
      </c>
      <c r="K56" s="50">
        <f>J56/J$76</f>
        <v>0.11607110904800046</v>
      </c>
      <c r="L56" s="128">
        <v>106</v>
      </c>
      <c r="M56" s="129">
        <v>194163</v>
      </c>
      <c r="N56" s="129">
        <v>58768</v>
      </c>
      <c r="O56" s="169">
        <v>61377.55</v>
      </c>
      <c r="P56" s="131">
        <f>O56/O$76</f>
        <v>8.7186255891832556E-2</v>
      </c>
      <c r="Q56" s="128">
        <v>63</v>
      </c>
      <c r="R56" s="129">
        <v>88323</v>
      </c>
      <c r="S56" s="129">
        <v>26685</v>
      </c>
      <c r="T56" s="169">
        <v>26081.494999999999</v>
      </c>
      <c r="U56" s="131">
        <f>T56/T$76</f>
        <v>3.8426913325060402E-2</v>
      </c>
      <c r="V56" s="128">
        <v>100</v>
      </c>
      <c r="W56" s="129">
        <v>247592</v>
      </c>
      <c r="X56" s="129">
        <v>62514</v>
      </c>
      <c r="Y56" s="169">
        <v>60790.358</v>
      </c>
      <c r="Z56" s="131">
        <f>Y56/Y$76</f>
        <v>9.8580241421216491E-2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732787.76000000013</v>
      </c>
      <c r="K76" s="69">
        <f t="shared" ref="K76" si="6">SUM(K$52:K$75)</f>
        <v>0.99999999999999978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616658.64400000009</v>
      </c>
      <c r="Z76" s="135">
        <f t="shared" si="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klein</v>
      </c>
      <c r="B92" s="36">
        <v>1</v>
      </c>
      <c r="C92" s="10">
        <v>11</v>
      </c>
      <c r="D92" s="10">
        <v>25</v>
      </c>
      <c r="E92" s="154">
        <v>59.777000000000001</v>
      </c>
      <c r="F92" s="37">
        <f>E92/E$116</f>
        <v>4.4606333714341883E-4</v>
      </c>
      <c r="G92" s="53">
        <v>1</v>
      </c>
      <c r="H92" s="54">
        <v>11</v>
      </c>
      <c r="I92" s="54">
        <v>25</v>
      </c>
      <c r="J92" s="164">
        <v>58.862000000000002</v>
      </c>
      <c r="K92" s="56">
        <f>J92/J$116</f>
        <v>4.6247023990021046E-4</v>
      </c>
      <c r="L92" s="136">
        <v>1</v>
      </c>
      <c r="M92" s="137">
        <v>11</v>
      </c>
      <c r="N92" s="137">
        <v>26</v>
      </c>
      <c r="O92" s="171">
        <v>57.723999999999997</v>
      </c>
      <c r="P92" s="139">
        <f>O92/O$116</f>
        <v>4.8406678219675762E-4</v>
      </c>
      <c r="Q92" s="136">
        <v>3</v>
      </c>
      <c r="R92" s="137">
        <v>18</v>
      </c>
      <c r="S92" s="137">
        <v>101</v>
      </c>
      <c r="T92" s="171">
        <v>128.16</v>
      </c>
      <c r="U92" s="139">
        <f>T92/T$116</f>
        <v>1.0228161096346498E-3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x14ac:dyDescent="0.2">
      <c r="A93" s="114" t="str">
        <f>$A$13</f>
        <v>2 – eher klein</v>
      </c>
      <c r="B93" s="36">
        <v>5</v>
      </c>
      <c r="C93" s="10">
        <v>17716</v>
      </c>
      <c r="D93" s="10">
        <v>9538</v>
      </c>
      <c r="E93" s="154">
        <v>7990.5479999999998</v>
      </c>
      <c r="F93" s="37">
        <f>E93/E$116</f>
        <v>5.9626453426646887E-2</v>
      </c>
      <c r="G93" s="53">
        <v>5</v>
      </c>
      <c r="H93" s="54">
        <v>17720</v>
      </c>
      <c r="I93" s="54">
        <v>9185</v>
      </c>
      <c r="J93" s="164">
        <v>7681.5010000000002</v>
      </c>
      <c r="K93" s="56">
        <f>J93/J$116</f>
        <v>6.0352444875534414E-2</v>
      </c>
      <c r="L93" s="136">
        <v>6</v>
      </c>
      <c r="M93" s="137">
        <v>17337</v>
      </c>
      <c r="N93" s="137">
        <v>8838</v>
      </c>
      <c r="O93" s="171">
        <v>7284.52</v>
      </c>
      <c r="P93" s="139">
        <f>O93/O$116</f>
        <v>6.1087141505230501E-2</v>
      </c>
      <c r="Q93" s="136">
        <v>10</v>
      </c>
      <c r="R93" s="137">
        <v>36813</v>
      </c>
      <c r="S93" s="137">
        <v>14397</v>
      </c>
      <c r="T93" s="171">
        <v>11942.08</v>
      </c>
      <c r="U93" s="139">
        <f>T93/T$116</f>
        <v>9.5307052173421974E-2</v>
      </c>
      <c r="V93" s="136">
        <v>7</v>
      </c>
      <c r="W93" s="137">
        <v>720</v>
      </c>
      <c r="X93" s="137">
        <v>443</v>
      </c>
      <c r="Y93" s="171">
        <v>403.32100000000003</v>
      </c>
      <c r="Z93" s="139">
        <f>Y93/Y$116</f>
        <v>3.1314668304127102E-3</v>
      </c>
    </row>
    <row r="94" spans="1:26" x14ac:dyDescent="0.2">
      <c r="A94" s="114" t="str">
        <f>$A$14</f>
        <v>3 – mittel</v>
      </c>
      <c r="B94" s="36">
        <v>19</v>
      </c>
      <c r="C94" s="10">
        <v>166270</v>
      </c>
      <c r="D94" s="10">
        <v>82062</v>
      </c>
      <c r="E94" s="154">
        <v>70666.428</v>
      </c>
      <c r="F94" s="37">
        <f>E94/E$116</f>
        <v>0.52732159020501412</v>
      </c>
      <c r="G94" s="53">
        <v>18</v>
      </c>
      <c r="H94" s="54">
        <v>121011</v>
      </c>
      <c r="I94" s="54">
        <v>50719</v>
      </c>
      <c r="J94" s="164">
        <v>45184.836000000003</v>
      </c>
      <c r="K94" s="56">
        <f>J94/J$116</f>
        <v>0.35501073603974831</v>
      </c>
      <c r="L94" s="136">
        <v>21</v>
      </c>
      <c r="M94" s="137">
        <v>161414</v>
      </c>
      <c r="N94" s="137">
        <v>71898</v>
      </c>
      <c r="O94" s="171">
        <v>60144.275000000001</v>
      </c>
      <c r="P94" s="139">
        <f>O94/O$116</f>
        <v>0.50436292818943418</v>
      </c>
      <c r="Q94" s="136">
        <v>22</v>
      </c>
      <c r="R94" s="137">
        <v>186440</v>
      </c>
      <c r="S94" s="137">
        <v>85536</v>
      </c>
      <c r="T94" s="171">
        <v>71254.547000000006</v>
      </c>
      <c r="U94" s="139">
        <f>T94/T$116</f>
        <v>0.56866649934706093</v>
      </c>
      <c r="V94" s="136">
        <v>27</v>
      </c>
      <c r="W94" s="137">
        <v>156687</v>
      </c>
      <c r="X94" s="137">
        <v>61814</v>
      </c>
      <c r="Y94" s="171">
        <v>51598.612999999998</v>
      </c>
      <c r="Z94" s="139">
        <f>Y94/Y$116</f>
        <v>0.40062219697164803</v>
      </c>
    </row>
    <row r="95" spans="1:26" x14ac:dyDescent="0.2">
      <c r="A95" s="114" t="str">
        <f>$A$15</f>
        <v>4 – eher hoch</v>
      </c>
      <c r="B95" s="36">
        <v>13</v>
      </c>
      <c r="C95" s="10">
        <v>141726</v>
      </c>
      <c r="D95" s="10">
        <v>64559</v>
      </c>
      <c r="E95" s="154">
        <v>55293.364000000001</v>
      </c>
      <c r="F95" s="37">
        <f>E95/E$116</f>
        <v>0.41260589303119555</v>
      </c>
      <c r="G95" s="53">
        <v>15</v>
      </c>
      <c r="H95" s="54">
        <v>183298</v>
      </c>
      <c r="I95" s="54">
        <v>90169</v>
      </c>
      <c r="J95" s="164">
        <v>74352.179999999993</v>
      </c>
      <c r="K95" s="56">
        <f>J95/J$116</f>
        <v>0.58417434884481712</v>
      </c>
      <c r="L95" s="136">
        <v>9</v>
      </c>
      <c r="M95" s="137">
        <v>83310</v>
      </c>
      <c r="N95" s="137">
        <v>40043</v>
      </c>
      <c r="O95" s="171">
        <v>32949.572</v>
      </c>
      <c r="P95" s="139">
        <f>O95/O$116</f>
        <v>0.27631129673619959</v>
      </c>
      <c r="Q95" s="136">
        <v>8</v>
      </c>
      <c r="R95" s="137">
        <v>116109</v>
      </c>
      <c r="S95" s="137">
        <v>53878</v>
      </c>
      <c r="T95" s="171">
        <v>41976.328999999998</v>
      </c>
      <c r="U95" s="139">
        <f>T95/T$116</f>
        <v>0.33500363236988245</v>
      </c>
      <c r="V95" s="136">
        <v>19</v>
      </c>
      <c r="W95" s="137">
        <v>126679</v>
      </c>
      <c r="X95" s="137">
        <v>63580</v>
      </c>
      <c r="Y95" s="171">
        <v>49887.637999999999</v>
      </c>
      <c r="Z95" s="139">
        <f>Y95/Y$116</f>
        <v>0.38733783672220556</v>
      </c>
    </row>
    <row r="96" spans="1:26" x14ac:dyDescent="0.2">
      <c r="A96" s="114" t="str">
        <f>$A$16</f>
        <v>5 – hoch</v>
      </c>
      <c r="B96" s="36">
        <v>0</v>
      </c>
      <c r="C96" s="10">
        <v>0</v>
      </c>
      <c r="D96" s="10">
        <v>0</v>
      </c>
      <c r="E96" s="154">
        <v>0</v>
      </c>
      <c r="F96" s="37">
        <f>E96/E$116</f>
        <v>0</v>
      </c>
      <c r="G96" s="53">
        <v>0</v>
      </c>
      <c r="H96" s="54">
        <v>0</v>
      </c>
      <c r="I96" s="54">
        <v>0</v>
      </c>
      <c r="J96" s="164">
        <v>0</v>
      </c>
      <c r="K96" s="56">
        <f>J96/J$116</f>
        <v>0</v>
      </c>
      <c r="L96" s="136">
        <v>1</v>
      </c>
      <c r="M96" s="137">
        <v>46271</v>
      </c>
      <c r="N96" s="137">
        <v>23029</v>
      </c>
      <c r="O96" s="171">
        <v>18811.918000000001</v>
      </c>
      <c r="P96" s="139">
        <f>O96/O$116</f>
        <v>0.15775456678693897</v>
      </c>
      <c r="Q96" s="136">
        <v>0</v>
      </c>
      <c r="R96" s="137">
        <v>0</v>
      </c>
      <c r="S96" s="137">
        <v>0</v>
      </c>
      <c r="T96" s="171">
        <v>0</v>
      </c>
      <c r="U96" s="139">
        <f>T96/T$116</f>
        <v>0</v>
      </c>
      <c r="V96" s="136">
        <v>5</v>
      </c>
      <c r="W96" s="137">
        <v>74030</v>
      </c>
      <c r="X96" s="137">
        <v>33868</v>
      </c>
      <c r="Y96" s="171">
        <v>26906.618999999999</v>
      </c>
      <c r="Z96" s="139">
        <f>Y96/Y$116</f>
        <v>0.20890849947573373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128796.19099999999</v>
      </c>
      <c r="Z116" s="143">
        <f t="shared" si="12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6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Translation!$A$50</f>
        <v>Gesamt-Risiko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 t="str">
        <f>Translation!$A$55</f>
        <v>Risikostufe</v>
      </c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  <c r="M11" s="75"/>
      <c r="N11" s="75"/>
      <c r="R11" s="75"/>
      <c r="S11" s="75"/>
      <c r="W11" s="75"/>
      <c r="X11" s="75"/>
    </row>
    <row r="12" spans="1:26" x14ac:dyDescent="0.2">
      <c r="A12" s="114" t="str">
        <f>Translation!$A56</f>
        <v>1 – klein</v>
      </c>
      <c r="B12" s="30">
        <v>101</v>
      </c>
      <c r="C12" s="6">
        <v>16328</v>
      </c>
      <c r="D12" s="6">
        <v>143</v>
      </c>
      <c r="E12" s="150">
        <v>1240.1669999999999</v>
      </c>
      <c r="F12" s="31">
        <f>E12/E$36</f>
        <v>1.3729478283002528E-3</v>
      </c>
      <c r="G12" s="41">
        <v>87</v>
      </c>
      <c r="H12" s="42">
        <v>16316</v>
      </c>
      <c r="I12" s="42">
        <v>242</v>
      </c>
      <c r="J12" s="160">
        <v>2310.2020000000002</v>
      </c>
      <c r="K12" s="44">
        <f>J12/J$36</f>
        <v>2.6860779436846823E-3</v>
      </c>
      <c r="L12" s="76">
        <v>107</v>
      </c>
      <c r="M12" s="122">
        <v>18497</v>
      </c>
      <c r="N12" s="122">
        <v>312</v>
      </c>
      <c r="O12" s="167">
        <v>2520.9639999999999</v>
      </c>
      <c r="P12" s="124">
        <f>O12/O$36</f>
        <v>3.0622841014844799E-3</v>
      </c>
      <c r="Q12" s="76">
        <v>137</v>
      </c>
      <c r="R12" s="122">
        <v>25676</v>
      </c>
      <c r="S12" s="122">
        <v>656</v>
      </c>
      <c r="T12" s="167">
        <v>3209.0140000000001</v>
      </c>
      <c r="U12" s="124">
        <f>T12/T$36</f>
        <v>3.991156982918128E-3</v>
      </c>
      <c r="V12" s="76">
        <v>73</v>
      </c>
      <c r="W12" s="122">
        <v>12775</v>
      </c>
      <c r="X12" s="122">
        <v>2647</v>
      </c>
      <c r="Y12" s="167">
        <v>1134.6089999999999</v>
      </c>
      <c r="Z12" s="124">
        <f>Y12/Y$36</f>
        <v>1.5220358722336275E-3</v>
      </c>
    </row>
    <row r="13" spans="1:26" x14ac:dyDescent="0.2">
      <c r="A13" s="114" t="str">
        <f>Translation!$A57</f>
        <v>2 – eher klein</v>
      </c>
      <c r="B13" s="30">
        <v>489</v>
      </c>
      <c r="C13" s="6">
        <v>1334064</v>
      </c>
      <c r="D13" s="6">
        <v>61694</v>
      </c>
      <c r="E13" s="150">
        <v>175563.98</v>
      </c>
      <c r="F13" s="31">
        <f>E13/E$36</f>
        <v>0.19436106997585731</v>
      </c>
      <c r="G13" s="41">
        <v>437</v>
      </c>
      <c r="H13" s="42">
        <v>1216026</v>
      </c>
      <c r="I13" s="42">
        <v>21237</v>
      </c>
      <c r="J13" s="160">
        <v>128128.61199999999</v>
      </c>
      <c r="K13" s="44">
        <f>J13/J$36</f>
        <v>0.14897547428672145</v>
      </c>
      <c r="L13" s="76">
        <v>433</v>
      </c>
      <c r="M13" s="122">
        <v>1243691</v>
      </c>
      <c r="N13" s="122">
        <v>26715</v>
      </c>
      <c r="O13" s="167">
        <v>121319.72</v>
      </c>
      <c r="P13" s="124">
        <f>O13/O$36</f>
        <v>0.14737039075232677</v>
      </c>
      <c r="Q13" s="76">
        <v>580</v>
      </c>
      <c r="R13" s="122">
        <v>1346382</v>
      </c>
      <c r="S13" s="122">
        <v>58466</v>
      </c>
      <c r="T13" s="167">
        <v>168348.26</v>
      </c>
      <c r="U13" s="124">
        <f>T13/T$36</f>
        <v>0.20938030605697469</v>
      </c>
      <c r="V13" s="76">
        <v>535</v>
      </c>
      <c r="W13" s="122">
        <v>1253183</v>
      </c>
      <c r="X13" s="122">
        <v>130143</v>
      </c>
      <c r="Y13" s="167">
        <v>78423.957999999999</v>
      </c>
      <c r="Z13" s="124">
        <f>Y13/Y$36</f>
        <v>0.10520282962548629</v>
      </c>
    </row>
    <row r="14" spans="1:26" x14ac:dyDescent="0.2">
      <c r="A14" s="114" t="str">
        <f>Translation!$A58</f>
        <v>3 – mittel</v>
      </c>
      <c r="B14" s="30">
        <v>886</v>
      </c>
      <c r="C14" s="6">
        <v>2326204</v>
      </c>
      <c r="D14" s="6">
        <v>644178</v>
      </c>
      <c r="E14" s="150">
        <v>552461.21299999999</v>
      </c>
      <c r="F14" s="31">
        <f>E14/E$36</f>
        <v>0.61161151893936339</v>
      </c>
      <c r="G14" s="41">
        <v>896</v>
      </c>
      <c r="H14" s="42">
        <v>2124756</v>
      </c>
      <c r="I14" s="42">
        <v>574955</v>
      </c>
      <c r="J14" s="160">
        <v>480708.60800000001</v>
      </c>
      <c r="K14" s="44">
        <f>J14/J$36</f>
        <v>0.55892116329574892</v>
      </c>
      <c r="L14" s="76">
        <v>896</v>
      </c>
      <c r="M14" s="122">
        <v>1917828</v>
      </c>
      <c r="N14" s="122">
        <v>456980</v>
      </c>
      <c r="O14" s="167">
        <v>391839.69</v>
      </c>
      <c r="P14" s="124">
        <f>O14/O$36</f>
        <v>0.47597841659682855</v>
      </c>
      <c r="Q14" s="76">
        <v>942</v>
      </c>
      <c r="R14" s="122">
        <v>2066004</v>
      </c>
      <c r="S14" s="122">
        <v>565549</v>
      </c>
      <c r="T14" s="167">
        <v>437217.83</v>
      </c>
      <c r="U14" s="124">
        <f>T14/T$36</f>
        <v>0.54378229426883495</v>
      </c>
      <c r="V14" s="76">
        <v>1022</v>
      </c>
      <c r="W14" s="122">
        <v>2016386</v>
      </c>
      <c r="X14" s="122">
        <v>523306</v>
      </c>
      <c r="Y14" s="167">
        <v>412387.14500000002</v>
      </c>
      <c r="Z14" s="124">
        <f>Y14/Y$36</f>
        <v>0.55320205281115387</v>
      </c>
    </row>
    <row r="15" spans="1:26" x14ac:dyDescent="0.2">
      <c r="A15" s="114" t="str">
        <f>Translation!$A59</f>
        <v>4 – eher hoch</v>
      </c>
      <c r="B15" s="30">
        <v>174</v>
      </c>
      <c r="C15" s="6">
        <v>432337</v>
      </c>
      <c r="D15" s="6">
        <v>178008</v>
      </c>
      <c r="E15" s="150">
        <v>146872.97</v>
      </c>
      <c r="F15" s="31">
        <f>E15/E$36</f>
        <v>0.1625982026594065</v>
      </c>
      <c r="G15" s="41">
        <v>252</v>
      </c>
      <c r="H15" s="42">
        <v>644321</v>
      </c>
      <c r="I15" s="42">
        <v>267053</v>
      </c>
      <c r="J15" s="160">
        <v>226537.61900000001</v>
      </c>
      <c r="K15" s="44">
        <f>J15/J$36</f>
        <v>0.26339588564581967</v>
      </c>
      <c r="L15" s="76">
        <v>297</v>
      </c>
      <c r="M15" s="122">
        <v>808098</v>
      </c>
      <c r="N15" s="122">
        <v>368536</v>
      </c>
      <c r="O15" s="167">
        <v>286675.15400000004</v>
      </c>
      <c r="P15" s="124">
        <f>O15/O$36</f>
        <v>0.34823217086194608</v>
      </c>
      <c r="Q15" s="76">
        <v>178</v>
      </c>
      <c r="R15" s="122">
        <v>519487</v>
      </c>
      <c r="S15" s="122">
        <v>220158</v>
      </c>
      <c r="T15" s="167">
        <v>176379.03899999999</v>
      </c>
      <c r="U15" s="124">
        <f>T15/T$36</f>
        <v>0.21936845185008191</v>
      </c>
      <c r="V15" s="76">
        <v>261</v>
      </c>
      <c r="W15" s="122">
        <v>601754</v>
      </c>
      <c r="X15" s="122">
        <v>260701</v>
      </c>
      <c r="Y15" s="167">
        <v>233414.62700000001</v>
      </c>
      <c r="Z15" s="124">
        <f>Y15/Y$36</f>
        <v>0.31311706094172692</v>
      </c>
    </row>
    <row r="16" spans="1:26" x14ac:dyDescent="0.2">
      <c r="A16" s="114" t="str">
        <f>Translation!$A60</f>
        <v>5 – hoch</v>
      </c>
      <c r="B16" s="30">
        <v>4</v>
      </c>
      <c r="C16" s="6">
        <v>66979</v>
      </c>
      <c r="D16" s="6">
        <v>33468</v>
      </c>
      <c r="E16" s="150">
        <v>27149.453000000001</v>
      </c>
      <c r="F16" s="31">
        <f>E16/E$36</f>
        <v>3.0056260597072643E-2</v>
      </c>
      <c r="G16" s="41">
        <v>10</v>
      </c>
      <c r="H16" s="42">
        <v>48675</v>
      </c>
      <c r="I16" s="42">
        <v>25338</v>
      </c>
      <c r="J16" s="160">
        <v>22380.097999999998</v>
      </c>
      <c r="K16" s="44">
        <f>J16/J$36</f>
        <v>2.6021398828025278E-2</v>
      </c>
      <c r="L16" s="76">
        <v>10</v>
      </c>
      <c r="M16" s="122">
        <v>50041</v>
      </c>
      <c r="N16" s="122">
        <v>26058</v>
      </c>
      <c r="O16" s="167">
        <v>20874.425999999999</v>
      </c>
      <c r="P16" s="124">
        <f>O16/O$36</f>
        <v>2.5356737687414126E-2</v>
      </c>
      <c r="Q16" s="76">
        <v>8</v>
      </c>
      <c r="R16" s="122">
        <v>46488</v>
      </c>
      <c r="S16" s="122">
        <v>23989</v>
      </c>
      <c r="T16" s="167">
        <v>18876.871999999999</v>
      </c>
      <c r="U16" s="124">
        <f>T16/T$36</f>
        <v>2.3477790841190373E-2</v>
      </c>
      <c r="V16" s="76">
        <v>14</v>
      </c>
      <c r="W16" s="122">
        <v>48650</v>
      </c>
      <c r="X16" s="122">
        <v>26535</v>
      </c>
      <c r="Y16" s="167">
        <v>20094.495999999999</v>
      </c>
      <c r="Z16" s="124">
        <f>Y16/Y$36</f>
        <v>2.6956020749399255E-2</v>
      </c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860065.13899999997</v>
      </c>
      <c r="K36" s="66">
        <f>SUM(K$12:K$35)</f>
        <v>0.99999999999999989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745454.83500000008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  <c r="M51" s="75"/>
      <c r="N51" s="75"/>
      <c r="R51" s="75"/>
      <c r="S51" s="75"/>
      <c r="W51" s="75"/>
      <c r="X51" s="75"/>
    </row>
    <row r="52" spans="1:26" x14ac:dyDescent="0.2">
      <c r="A52" s="114" t="str">
        <f>$A$12</f>
        <v>1 – klein</v>
      </c>
      <c r="B52" s="33">
        <v>101</v>
      </c>
      <c r="C52" s="8">
        <v>16328</v>
      </c>
      <c r="D52" s="8">
        <v>143</v>
      </c>
      <c r="E52" s="152">
        <v>1240.1669999999999</v>
      </c>
      <c r="F52" s="34">
        <f>E52/E$76</f>
        <v>1.6121188158866944E-3</v>
      </c>
      <c r="G52" s="47">
        <v>87</v>
      </c>
      <c r="H52" s="48">
        <v>16316</v>
      </c>
      <c r="I52" s="48">
        <v>242</v>
      </c>
      <c r="J52" s="162">
        <v>2310.2020000000002</v>
      </c>
      <c r="K52" s="50">
        <f>J52/J$76</f>
        <v>3.1526208898467415E-3</v>
      </c>
      <c r="L52" s="128">
        <v>107</v>
      </c>
      <c r="M52" s="129">
        <v>18497</v>
      </c>
      <c r="N52" s="129">
        <v>312</v>
      </c>
      <c r="O52" s="169">
        <v>2520.9639999999999</v>
      </c>
      <c r="P52" s="131">
        <f>O52/O$76</f>
        <v>3.58100661232157E-3</v>
      </c>
      <c r="Q52" s="128">
        <v>137</v>
      </c>
      <c r="R52" s="129">
        <v>25676</v>
      </c>
      <c r="S52" s="129">
        <v>656</v>
      </c>
      <c r="T52" s="169">
        <v>3209.0140000000001</v>
      </c>
      <c r="U52" s="131">
        <f>T52/T$76</f>
        <v>4.7279691151487051E-3</v>
      </c>
      <c r="V52" s="128">
        <v>73</v>
      </c>
      <c r="W52" s="129">
        <v>12775</v>
      </c>
      <c r="X52" s="129">
        <v>2647</v>
      </c>
      <c r="Y52" s="169">
        <v>1134.6089999999999</v>
      </c>
      <c r="Z52" s="131">
        <f>Y52/Y$76</f>
        <v>1.8399304234840172E-3</v>
      </c>
    </row>
    <row r="53" spans="1:26" x14ac:dyDescent="0.2">
      <c r="A53" s="114" t="str">
        <f>$A$13</f>
        <v>2 – eher klein</v>
      </c>
      <c r="B53" s="33">
        <v>485</v>
      </c>
      <c r="C53" s="8">
        <v>1333102</v>
      </c>
      <c r="D53" s="8">
        <v>61301</v>
      </c>
      <c r="E53" s="152">
        <v>175290.79800000001</v>
      </c>
      <c r="F53" s="34">
        <f>E53/E$76</f>
        <v>0.22786414548007952</v>
      </c>
      <c r="G53" s="47">
        <v>434</v>
      </c>
      <c r="H53" s="48">
        <v>1215259</v>
      </c>
      <c r="I53" s="48">
        <v>20928</v>
      </c>
      <c r="J53" s="162">
        <v>127917.655</v>
      </c>
      <c r="K53" s="50">
        <f>J53/J$76</f>
        <v>0.17456303445898172</v>
      </c>
      <c r="L53" s="128">
        <v>432</v>
      </c>
      <c r="M53" s="129">
        <v>1243680</v>
      </c>
      <c r="N53" s="129">
        <v>26689</v>
      </c>
      <c r="O53" s="169">
        <v>121261.996</v>
      </c>
      <c r="P53" s="131">
        <f>O53/O$76</f>
        <v>0.17225157102573133</v>
      </c>
      <c r="Q53" s="128">
        <v>578</v>
      </c>
      <c r="R53" s="129">
        <v>1345602</v>
      </c>
      <c r="S53" s="129">
        <v>58095</v>
      </c>
      <c r="T53" s="169">
        <v>168104.83199999999</v>
      </c>
      <c r="U53" s="131">
        <f>T53/T$76</f>
        <v>0.24767559562010691</v>
      </c>
      <c r="V53" s="128">
        <v>532</v>
      </c>
      <c r="W53" s="129">
        <v>1252354</v>
      </c>
      <c r="X53" s="129">
        <v>129840</v>
      </c>
      <c r="Y53" s="169">
        <v>78273.516000000003</v>
      </c>
      <c r="Z53" s="131">
        <f>Y53/Y$76</f>
        <v>0.12693167729276164</v>
      </c>
    </row>
    <row r="54" spans="1:26" x14ac:dyDescent="0.2">
      <c r="A54" s="114" t="str">
        <f>$A$14</f>
        <v>3 – mittel</v>
      </c>
      <c r="B54" s="33">
        <v>868</v>
      </c>
      <c r="C54" s="8">
        <v>2196276</v>
      </c>
      <c r="D54" s="8">
        <v>584194</v>
      </c>
      <c r="E54" s="152">
        <v>499162.098</v>
      </c>
      <c r="F54" s="34">
        <f>E54/E$76</f>
        <v>0.6488711684501185</v>
      </c>
      <c r="G54" s="47">
        <v>879</v>
      </c>
      <c r="H54" s="48">
        <v>1996342</v>
      </c>
      <c r="I54" s="48">
        <v>518008</v>
      </c>
      <c r="J54" s="162">
        <v>430278.29200000002</v>
      </c>
      <c r="K54" s="50">
        <f>J54/J$76</f>
        <v>0.58717996599724875</v>
      </c>
      <c r="L54" s="128">
        <v>878</v>
      </c>
      <c r="M54" s="129">
        <v>1814583</v>
      </c>
      <c r="N54" s="129">
        <v>416309</v>
      </c>
      <c r="O54" s="169">
        <v>354900.52899999998</v>
      </c>
      <c r="P54" s="131">
        <f>O54/O$76</f>
        <v>0.50413299875183581</v>
      </c>
      <c r="Q54" s="128">
        <v>919</v>
      </c>
      <c r="R54" s="129">
        <v>1958085</v>
      </c>
      <c r="S54" s="129">
        <v>516967</v>
      </c>
      <c r="T54" s="169">
        <v>400279.37900000002</v>
      </c>
      <c r="U54" s="131">
        <f>T54/T$76</f>
        <v>0.58974767369132808</v>
      </c>
      <c r="V54" s="128">
        <v>996</v>
      </c>
      <c r="W54" s="129">
        <v>1920325</v>
      </c>
      <c r="X54" s="129">
        <v>488760</v>
      </c>
      <c r="Y54" s="169">
        <v>381494.31</v>
      </c>
      <c r="Z54" s="131">
        <f>Y54/Y$76</f>
        <v>0.61864747005800491</v>
      </c>
    </row>
    <row r="55" spans="1:26" x14ac:dyDescent="0.2">
      <c r="A55" s="114" t="str">
        <f>$A$15</f>
        <v>4 – eher hoch</v>
      </c>
      <c r="B55" s="33">
        <v>160</v>
      </c>
      <c r="C55" s="8">
        <v>304373</v>
      </c>
      <c r="D55" s="8">
        <v>115634</v>
      </c>
      <c r="E55" s="152">
        <v>93540.040999999997</v>
      </c>
      <c r="F55" s="34">
        <f>E55/E$76</f>
        <v>0.12159464018548538</v>
      </c>
      <c r="G55" s="47">
        <v>234</v>
      </c>
      <c r="H55" s="48">
        <v>498802</v>
      </c>
      <c r="I55" s="48">
        <v>197553</v>
      </c>
      <c r="J55" s="162">
        <v>170563.421</v>
      </c>
      <c r="K55" s="50">
        <f>J55/J$76</f>
        <v>0.23275964789586553</v>
      </c>
      <c r="L55" s="128">
        <v>280</v>
      </c>
      <c r="M55" s="129">
        <v>651158</v>
      </c>
      <c r="N55" s="129">
        <v>289386</v>
      </c>
      <c r="O55" s="169">
        <v>223873.85200000001</v>
      </c>
      <c r="P55" s="131">
        <f>O55/O$76</f>
        <v>0.31801078648401981</v>
      </c>
      <c r="Q55" s="128">
        <v>162</v>
      </c>
      <c r="R55" s="129">
        <v>335292</v>
      </c>
      <c r="S55" s="129">
        <v>138554</v>
      </c>
      <c r="T55" s="169">
        <v>107014.424</v>
      </c>
      <c r="U55" s="131">
        <f>T55/T$76</f>
        <v>0.1576686457420966</v>
      </c>
      <c r="V55" s="128">
        <v>237</v>
      </c>
      <c r="W55" s="129">
        <v>388206</v>
      </c>
      <c r="X55" s="129">
        <v>161210</v>
      </c>
      <c r="Y55" s="169">
        <v>155292.198</v>
      </c>
      <c r="Z55" s="131">
        <f>Y55/Y$76</f>
        <v>0.25182846216617694</v>
      </c>
    </row>
    <row r="56" spans="1:26" x14ac:dyDescent="0.2">
      <c r="A56" s="114" t="str">
        <f>$A$16</f>
        <v>5 – hoch</v>
      </c>
      <c r="B56" s="33">
        <v>2</v>
      </c>
      <c r="C56" s="8">
        <v>110</v>
      </c>
      <c r="D56" s="8">
        <v>35</v>
      </c>
      <c r="E56" s="152">
        <v>44.561999999999998</v>
      </c>
      <c r="F56" s="34">
        <f>E56/E$76</f>
        <v>5.792706842993151E-5</v>
      </c>
      <c r="G56" s="47">
        <v>9</v>
      </c>
      <c r="H56" s="48">
        <v>1335</v>
      </c>
      <c r="I56" s="48">
        <v>1996</v>
      </c>
      <c r="J56" s="162">
        <v>1718.19</v>
      </c>
      <c r="K56" s="50">
        <f>J56/J$76</f>
        <v>2.3447307580574221E-3</v>
      </c>
      <c r="L56" s="128">
        <v>8</v>
      </c>
      <c r="M56" s="129">
        <v>1894</v>
      </c>
      <c r="N56" s="129">
        <v>2071</v>
      </c>
      <c r="O56" s="169">
        <v>1424.604</v>
      </c>
      <c r="P56" s="131">
        <f>O56/O$76</f>
        <v>2.0236371260913513E-3</v>
      </c>
      <c r="Q56" s="128">
        <v>6</v>
      </c>
      <c r="R56" s="129">
        <v>2</v>
      </c>
      <c r="S56" s="129">
        <v>634</v>
      </c>
      <c r="T56" s="169">
        <v>122.25</v>
      </c>
      <c r="U56" s="131">
        <f>T56/T$76</f>
        <v>1.8011583131981638E-4</v>
      </c>
      <c r="V56" s="128">
        <v>9</v>
      </c>
      <c r="W56" s="129">
        <v>972</v>
      </c>
      <c r="X56" s="129">
        <v>1170</v>
      </c>
      <c r="Y56" s="169">
        <v>464.01100000000002</v>
      </c>
      <c r="Z56" s="131">
        <f>Y56/Y$76</f>
        <v>7.524600595722776E-4</v>
      </c>
    </row>
    <row r="57" spans="1:26" ht="12.75" hidden="1" customHeight="1" x14ac:dyDescent="0.2"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tr">
        <f>$A$36</f>
        <v>Total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6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0.99999999999999989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616658.64400000009</v>
      </c>
      <c r="Z76" s="135">
        <f t="shared" si="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  <c r="M91" s="75"/>
      <c r="N91" s="75"/>
      <c r="R91" s="75"/>
      <c r="S91" s="75"/>
      <c r="W91" s="75"/>
      <c r="X91" s="75"/>
    </row>
    <row r="92" spans="1:26" x14ac:dyDescent="0.2">
      <c r="A92" s="114" t="str">
        <f>$A$12</f>
        <v>1 – klein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x14ac:dyDescent="0.2">
      <c r="A93" s="114" t="str">
        <f>$A$13</f>
        <v>2 – eher klein</v>
      </c>
      <c r="B93" s="36">
        <v>4</v>
      </c>
      <c r="C93" s="10">
        <v>962</v>
      </c>
      <c r="D93" s="10">
        <v>393</v>
      </c>
      <c r="E93" s="154">
        <v>273.18200000000002</v>
      </c>
      <c r="F93" s="37">
        <f>E93/E$116</f>
        <v>2.0385177337021504E-3</v>
      </c>
      <c r="G93" s="53">
        <v>3</v>
      </c>
      <c r="H93" s="54">
        <v>767</v>
      </c>
      <c r="I93" s="54">
        <v>309</v>
      </c>
      <c r="J93" s="164">
        <v>210.95699999999999</v>
      </c>
      <c r="K93" s="56">
        <f>J93/J$116</f>
        <v>1.6574587067824521E-3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>O93/O$116</f>
        <v>4.8406678219675762E-4</v>
      </c>
      <c r="Q93" s="136">
        <v>2</v>
      </c>
      <c r="R93" s="137">
        <v>780</v>
      </c>
      <c r="S93" s="137">
        <v>371</v>
      </c>
      <c r="T93" s="171">
        <v>243.428</v>
      </c>
      <c r="U93" s="139">
        <f>T93/T$116</f>
        <v>1.9427440694143538E-3</v>
      </c>
      <c r="V93" s="136">
        <v>3</v>
      </c>
      <c r="W93" s="137">
        <v>829</v>
      </c>
      <c r="X93" s="137">
        <v>303</v>
      </c>
      <c r="Y93" s="171">
        <v>150.44200000000001</v>
      </c>
      <c r="Z93" s="139">
        <f>Y93/Y$116</f>
        <v>1.1680624934009112E-3</v>
      </c>
    </row>
    <row r="94" spans="1:26" x14ac:dyDescent="0.2">
      <c r="A94" s="114" t="str">
        <f>$A$14</f>
        <v>3 – mittel</v>
      </c>
      <c r="B94" s="36">
        <v>18</v>
      </c>
      <c r="C94" s="10">
        <v>129928</v>
      </c>
      <c r="D94" s="10">
        <v>59984</v>
      </c>
      <c r="E94" s="154">
        <v>53299.114999999998</v>
      </c>
      <c r="F94" s="37">
        <f>E94/E$116</f>
        <v>0.39772456134785705</v>
      </c>
      <c r="G94" s="53">
        <v>17</v>
      </c>
      <c r="H94" s="54">
        <v>128414</v>
      </c>
      <c r="I94" s="54">
        <v>56947</v>
      </c>
      <c r="J94" s="164">
        <v>50430.315999999999</v>
      </c>
      <c r="K94" s="56">
        <f>J94/J$116</f>
        <v>0.39622371544907448</v>
      </c>
      <c r="L94" s="136">
        <v>18</v>
      </c>
      <c r="M94" s="137">
        <v>103245</v>
      </c>
      <c r="N94" s="137">
        <v>40671</v>
      </c>
      <c r="O94" s="171">
        <v>36939.161</v>
      </c>
      <c r="P94" s="139">
        <f>O94/O$116</f>
        <v>0.30976752827797738</v>
      </c>
      <c r="Q94" s="136">
        <v>23</v>
      </c>
      <c r="R94" s="137">
        <v>107919</v>
      </c>
      <c r="S94" s="137">
        <v>48582</v>
      </c>
      <c r="T94" s="171">
        <v>36938.451000000001</v>
      </c>
      <c r="U94" s="139">
        <f>T94/T$116</f>
        <v>0.29479746213912411</v>
      </c>
      <c r="V94" s="136">
        <v>26</v>
      </c>
      <c r="W94" s="137">
        <v>96061</v>
      </c>
      <c r="X94" s="137">
        <v>34546</v>
      </c>
      <c r="Y94" s="171">
        <v>30892.834999999999</v>
      </c>
      <c r="Z94" s="139">
        <f>Y94/Y$116</f>
        <v>0.23985829674108916</v>
      </c>
    </row>
    <row r="95" spans="1:26" x14ac:dyDescent="0.2">
      <c r="A95" s="114" t="str">
        <f>$A$15</f>
        <v>4 – eher hoch</v>
      </c>
      <c r="B95" s="36">
        <v>14</v>
      </c>
      <c r="C95" s="10">
        <v>127964</v>
      </c>
      <c r="D95" s="10">
        <v>62374</v>
      </c>
      <c r="E95" s="154">
        <v>53332.928999999996</v>
      </c>
      <c r="F95" s="37">
        <f>E95/E$116</f>
        <v>0.39797688558095951</v>
      </c>
      <c r="G95" s="53">
        <v>18</v>
      </c>
      <c r="H95" s="54">
        <v>145519</v>
      </c>
      <c r="I95" s="54">
        <v>69500</v>
      </c>
      <c r="J95" s="164">
        <v>55974.197999999997</v>
      </c>
      <c r="K95" s="56">
        <f>J95/J$116</f>
        <v>0.43978119631140428</v>
      </c>
      <c r="L95" s="136">
        <v>17</v>
      </c>
      <c r="M95" s="137">
        <v>156940</v>
      </c>
      <c r="N95" s="137">
        <v>79150</v>
      </c>
      <c r="O95" s="171">
        <v>62801.302000000003</v>
      </c>
      <c r="P95" s="139">
        <f>O95/O$116</f>
        <v>0.52664444904904029</v>
      </c>
      <c r="Q95" s="136">
        <v>16</v>
      </c>
      <c r="R95" s="137">
        <v>184195</v>
      </c>
      <c r="S95" s="137">
        <v>81604</v>
      </c>
      <c r="T95" s="171">
        <v>69364.615000000005</v>
      </c>
      <c r="U95" s="139">
        <f>T95/T$116</f>
        <v>0.5535833775016018</v>
      </c>
      <c r="V95" s="136">
        <v>24</v>
      </c>
      <c r="W95" s="137">
        <v>213548</v>
      </c>
      <c r="X95" s="137">
        <v>99491</v>
      </c>
      <c r="Y95" s="171">
        <v>78122.429000000004</v>
      </c>
      <c r="Z95" s="139">
        <f>Y95/Y$116</f>
        <v>0.60655853557035699</v>
      </c>
    </row>
    <row r="96" spans="1:26" x14ac:dyDescent="0.2">
      <c r="A96" s="114" t="str">
        <f>$A$16</f>
        <v>5 – hoch</v>
      </c>
      <c r="B96" s="36">
        <v>2</v>
      </c>
      <c r="C96" s="10">
        <v>66869</v>
      </c>
      <c r="D96" s="10">
        <v>33433</v>
      </c>
      <c r="E96" s="154">
        <v>27104.891</v>
      </c>
      <c r="F96" s="37">
        <f>E96/E$116</f>
        <v>0.20226003533748127</v>
      </c>
      <c r="G96" s="53">
        <v>1</v>
      </c>
      <c r="H96" s="54">
        <v>47340</v>
      </c>
      <c r="I96" s="54">
        <v>23342</v>
      </c>
      <c r="J96" s="164">
        <v>20661.907999999999</v>
      </c>
      <c r="K96" s="56">
        <f>J96/J$116</f>
        <v>0.16233762953273889</v>
      </c>
      <c r="L96" s="136">
        <v>2</v>
      </c>
      <c r="M96" s="137">
        <v>48147</v>
      </c>
      <c r="N96" s="137">
        <v>23987</v>
      </c>
      <c r="O96" s="171">
        <v>19449.822</v>
      </c>
      <c r="P96" s="139">
        <f>O96/O$116</f>
        <v>0.16310395589078555</v>
      </c>
      <c r="Q96" s="136">
        <v>2</v>
      </c>
      <c r="R96" s="137">
        <v>46486</v>
      </c>
      <c r="S96" s="137">
        <v>23355</v>
      </c>
      <c r="T96" s="171">
        <v>18754.621999999999</v>
      </c>
      <c r="U96" s="139">
        <f>T96/T$116</f>
        <v>0.1496764162898597</v>
      </c>
      <c r="V96" s="136">
        <v>5</v>
      </c>
      <c r="W96" s="137">
        <v>47678</v>
      </c>
      <c r="X96" s="137">
        <v>25365</v>
      </c>
      <c r="Y96" s="171">
        <v>19630.485000000001</v>
      </c>
      <c r="Z96" s="139">
        <f>Y96/Y$116</f>
        <v>0.15241510519515286</v>
      </c>
    </row>
    <row r="97" spans="2:26" ht="12.75" hidden="1" customHeight="1" x14ac:dyDescent="0.2"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2:26" ht="12.75" hidden="1" customHeight="1" x14ac:dyDescent="0.2"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2:26" ht="12.75" hidden="1" customHeight="1" x14ac:dyDescent="0.2"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2:26" ht="12.75" hidden="1" customHeight="1" x14ac:dyDescent="0.2"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2:26" ht="12.75" hidden="1" customHeight="1" x14ac:dyDescent="0.2"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2:26" ht="12.75" hidden="1" customHeight="1" x14ac:dyDescent="0.2"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2:26" ht="12.75" hidden="1" customHeight="1" x14ac:dyDescent="0.2"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2:26" ht="12.75" hidden="1" customHeight="1" x14ac:dyDescent="0.2"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2:26" ht="12.75" hidden="1" customHeight="1" x14ac:dyDescent="0.2"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2:26" ht="12.75" hidden="1" customHeight="1" x14ac:dyDescent="0.2"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2:26" ht="12.75" hidden="1" customHeight="1" x14ac:dyDescent="0.2"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2:26" ht="12.75" hidden="1" customHeight="1" x14ac:dyDescent="0.2"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2:26" ht="12.75" hidden="1" customHeight="1" x14ac:dyDescent="0.2"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2:26" ht="12.75" hidden="1" customHeight="1" x14ac:dyDescent="0.2"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2:26" ht="12.75" hidden="1" customHeight="1" x14ac:dyDescent="0.2"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2:26" ht="12.75" hidden="1" customHeight="1" x14ac:dyDescent="0.2"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tr">
        <f>$A$36</f>
        <v>Total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0.99999999999999989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0.99999999999999989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96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94" t="str">
        <f>Translation!$A$200</f>
        <v>Abweichung vom Zieldeckungsgrad (nur bei Teilkapitalisierung)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95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96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97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98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99" t="str">
        <f>Translation!$A$29</f>
        <v>alle Vorsorgeeinrichtungen</v>
      </c>
    </row>
    <row r="12" spans="1:26" x14ac:dyDescent="0.2">
      <c r="A12" s="200" t="str">
        <f>Translation!$A201</f>
        <v>unter -20.0%</v>
      </c>
      <c r="B12" s="30">
        <v>1</v>
      </c>
      <c r="C12" s="6">
        <v>7181</v>
      </c>
      <c r="D12" s="6">
        <v>4416</v>
      </c>
      <c r="E12" s="150">
        <v>3306.7739999999999</v>
      </c>
      <c r="F12" s="31">
        <f t="shared" ref="F12:F17" si="0">E12/E$36</f>
        <v>2.8521642095997678E-2</v>
      </c>
      <c r="G12" s="41">
        <v>2</v>
      </c>
      <c r="H12" s="42">
        <v>54493</v>
      </c>
      <c r="I12" s="42">
        <v>27717</v>
      </c>
      <c r="J12" s="160">
        <v>23885.664000000001</v>
      </c>
      <c r="K12" s="44">
        <f t="shared" ref="K12:K17" si="1">J12/J$36</f>
        <v>0.21677169478344729</v>
      </c>
      <c r="L12" s="76">
        <v>3</v>
      </c>
      <c r="M12" s="122">
        <v>72202</v>
      </c>
      <c r="N12" s="122">
        <v>35733</v>
      </c>
      <c r="O12" s="167">
        <v>27499.941999999999</v>
      </c>
      <c r="P12" s="124">
        <f t="shared" ref="P12:P17" si="2">O12/O$36</f>
        <v>0.29919312123317787</v>
      </c>
      <c r="Q12" s="76">
        <v>1</v>
      </c>
      <c r="R12" s="122">
        <v>18553</v>
      </c>
      <c r="S12" s="122">
        <v>8206</v>
      </c>
      <c r="T12" s="167">
        <v>5603.7870000000003</v>
      </c>
      <c r="U12" s="124">
        <f t="shared" ref="U12:U17" si="3">T12/T$36</f>
        <v>6.1805429707498666E-2</v>
      </c>
      <c r="V12" s="76"/>
      <c r="W12" s="122"/>
      <c r="X12" s="122"/>
      <c r="Y12" s="167"/>
      <c r="Z12" s="124"/>
    </row>
    <row r="13" spans="1:26" x14ac:dyDescent="0.2">
      <c r="A13" s="200" t="str">
        <f>Translation!$A202</f>
        <v>-20.0% – -10.1%</v>
      </c>
      <c r="B13" s="30">
        <v>6</v>
      </c>
      <c r="C13" s="6">
        <v>85236</v>
      </c>
      <c r="D13" s="6">
        <v>43509</v>
      </c>
      <c r="E13" s="150">
        <v>35471.016000000003</v>
      </c>
      <c r="F13" s="31">
        <f t="shared" si="0"/>
        <v>0.30594519708132678</v>
      </c>
      <c r="G13" s="41">
        <v>8</v>
      </c>
      <c r="H13" s="42">
        <v>44870</v>
      </c>
      <c r="I13" s="42">
        <v>21653</v>
      </c>
      <c r="J13" s="160">
        <v>15889.319</v>
      </c>
      <c r="K13" s="44">
        <f t="shared" si="1"/>
        <v>0.14420175250664288</v>
      </c>
      <c r="L13" s="76">
        <v>6</v>
      </c>
      <c r="M13" s="122">
        <v>18823</v>
      </c>
      <c r="N13" s="122">
        <v>9732</v>
      </c>
      <c r="O13" s="167">
        <v>7843.5510000000004</v>
      </c>
      <c r="P13" s="124">
        <f t="shared" si="2"/>
        <v>8.5336052899370254E-2</v>
      </c>
      <c r="Q13" s="76">
        <v>9</v>
      </c>
      <c r="R13" s="122">
        <v>127848</v>
      </c>
      <c r="S13" s="122">
        <v>59644</v>
      </c>
      <c r="T13" s="167">
        <v>50318.353999999999</v>
      </c>
      <c r="U13" s="124">
        <f t="shared" si="3"/>
        <v>0.55497246614548945</v>
      </c>
      <c r="V13" s="76"/>
      <c r="W13" s="122"/>
      <c r="X13" s="122"/>
      <c r="Y13" s="167"/>
      <c r="Z13" s="124"/>
    </row>
    <row r="14" spans="1:26" x14ac:dyDescent="0.2">
      <c r="A14" s="200" t="str">
        <f>Translation!$A203</f>
        <v>-10.0% – -0.1%</v>
      </c>
      <c r="B14" s="30">
        <v>14</v>
      </c>
      <c r="C14" s="6">
        <v>141587</v>
      </c>
      <c r="D14" s="6">
        <v>63090</v>
      </c>
      <c r="E14" s="150">
        <v>55097.512999999999</v>
      </c>
      <c r="F14" s="31">
        <f t="shared" si="0"/>
        <v>0.4752279853916776</v>
      </c>
      <c r="G14" s="41">
        <v>14</v>
      </c>
      <c r="H14" s="42">
        <v>165839</v>
      </c>
      <c r="I14" s="42">
        <v>78971</v>
      </c>
      <c r="J14" s="160">
        <v>66433.317999999999</v>
      </c>
      <c r="K14" s="44">
        <f t="shared" si="1"/>
        <v>0.60290821025313324</v>
      </c>
      <c r="L14" s="76">
        <v>13</v>
      </c>
      <c r="M14" s="122">
        <v>139486</v>
      </c>
      <c r="N14" s="122">
        <v>61023</v>
      </c>
      <c r="O14" s="167">
        <v>52727.216999999997</v>
      </c>
      <c r="P14" s="124">
        <f t="shared" si="2"/>
        <v>0.57366014183481107</v>
      </c>
      <c r="Q14" s="76">
        <v>12</v>
      </c>
      <c r="R14" s="122">
        <v>76386</v>
      </c>
      <c r="S14" s="122">
        <v>33959</v>
      </c>
      <c r="T14" s="167">
        <v>26955.723000000002</v>
      </c>
      <c r="U14" s="124">
        <f t="shared" si="3"/>
        <v>0.2973007437811796</v>
      </c>
      <c r="V14" s="76"/>
      <c r="W14" s="122"/>
      <c r="X14" s="122"/>
      <c r="Y14" s="167"/>
      <c r="Z14" s="124"/>
    </row>
    <row r="15" spans="1:26" x14ac:dyDescent="0.2">
      <c r="A15" s="200" t="str">
        <f>Translation!$A204</f>
        <v>0.0% – 9.9%</v>
      </c>
      <c r="B15" s="30">
        <v>5</v>
      </c>
      <c r="C15" s="6">
        <v>46066</v>
      </c>
      <c r="D15" s="6">
        <v>25033</v>
      </c>
      <c r="E15" s="150">
        <v>21527.733</v>
      </c>
      <c r="F15" s="31">
        <f t="shared" si="0"/>
        <v>0.18568136067484453</v>
      </c>
      <c r="G15" s="41">
        <v>2</v>
      </c>
      <c r="H15" s="42">
        <v>10360</v>
      </c>
      <c r="I15" s="42">
        <v>3043</v>
      </c>
      <c r="J15" s="160">
        <v>3458.866</v>
      </c>
      <c r="K15" s="44">
        <f t="shared" si="1"/>
        <v>3.1390554805126758E-2</v>
      </c>
      <c r="L15" s="76">
        <v>2</v>
      </c>
      <c r="M15" s="122">
        <v>10126</v>
      </c>
      <c r="N15" s="122">
        <v>2917</v>
      </c>
      <c r="O15" s="167">
        <v>3334.4389999999999</v>
      </c>
      <c r="P15" s="124">
        <f t="shared" si="2"/>
        <v>3.6277938766984902E-2</v>
      </c>
      <c r="Q15" s="76">
        <v>3</v>
      </c>
      <c r="R15" s="122">
        <v>20874</v>
      </c>
      <c r="S15" s="122">
        <v>7687</v>
      </c>
      <c r="T15" s="167">
        <v>7584.2640000000001</v>
      </c>
      <c r="U15" s="124">
        <f t="shared" si="3"/>
        <v>8.3648556866117968E-2</v>
      </c>
      <c r="V15" s="76"/>
      <c r="W15" s="122"/>
      <c r="X15" s="122"/>
      <c r="Y15" s="167"/>
      <c r="Z15" s="124"/>
    </row>
    <row r="16" spans="1:26" x14ac:dyDescent="0.2">
      <c r="A16" s="200" t="str">
        <f>Translation!$A205</f>
        <v>10.0% – 19.9%</v>
      </c>
      <c r="B16" s="30">
        <v>1</v>
      </c>
      <c r="C16" s="6">
        <v>1061</v>
      </c>
      <c r="D16" s="6">
        <v>498</v>
      </c>
      <c r="E16" s="150">
        <v>322.23500000000001</v>
      </c>
      <c r="F16" s="31">
        <f t="shared" si="0"/>
        <v>2.7793466807238148E-3</v>
      </c>
      <c r="G16" s="41">
        <v>1</v>
      </c>
      <c r="H16" s="42">
        <v>1017</v>
      </c>
      <c r="I16" s="42">
        <v>491</v>
      </c>
      <c r="J16" s="160">
        <v>316.904</v>
      </c>
      <c r="K16" s="44">
        <f t="shared" si="1"/>
        <v>2.8760271082961552E-3</v>
      </c>
      <c r="L16" s="76">
        <v>0</v>
      </c>
      <c r="M16" s="122">
        <v>0</v>
      </c>
      <c r="N16" s="122">
        <v>0</v>
      </c>
      <c r="O16" s="167">
        <v>0</v>
      </c>
      <c r="P16" s="124">
        <f t="shared" si="2"/>
        <v>0</v>
      </c>
      <c r="Q16" s="76">
        <v>0</v>
      </c>
      <c r="R16" s="122">
        <v>0</v>
      </c>
      <c r="S16" s="122">
        <v>0</v>
      </c>
      <c r="T16" s="167">
        <v>0</v>
      </c>
      <c r="U16" s="124">
        <f t="shared" si="3"/>
        <v>0</v>
      </c>
      <c r="V16" s="76"/>
      <c r="W16" s="122"/>
      <c r="X16" s="122"/>
      <c r="Y16" s="167"/>
      <c r="Z16" s="124"/>
    </row>
    <row r="17" spans="1:26" ht="12.75" customHeight="1" x14ac:dyDescent="0.2">
      <c r="A17" s="200" t="str">
        <f>Translation!$A206</f>
        <v>20.0% oder höher</v>
      </c>
      <c r="B17" s="30">
        <v>1</v>
      </c>
      <c r="C17" s="6">
        <v>440</v>
      </c>
      <c r="D17" s="6">
        <v>375</v>
      </c>
      <c r="E17" s="150">
        <v>213.846</v>
      </c>
      <c r="F17" s="31">
        <f t="shared" si="0"/>
        <v>1.8444680754296241E-3</v>
      </c>
      <c r="G17" s="41">
        <v>1</v>
      </c>
      <c r="H17" s="42">
        <v>452</v>
      </c>
      <c r="I17" s="42">
        <v>364</v>
      </c>
      <c r="J17" s="160">
        <v>204.042</v>
      </c>
      <c r="K17" s="44">
        <f t="shared" si="1"/>
        <v>1.8517605433537102E-3</v>
      </c>
      <c r="L17" s="76">
        <v>2</v>
      </c>
      <c r="M17" s="122">
        <v>1423</v>
      </c>
      <c r="N17" s="122">
        <v>829</v>
      </c>
      <c r="O17" s="167">
        <v>508.53500000000003</v>
      </c>
      <c r="P17" s="124">
        <f t="shared" si="2"/>
        <v>5.5327452656559828E-3</v>
      </c>
      <c r="Q17" s="76">
        <v>1</v>
      </c>
      <c r="R17" s="122">
        <v>469</v>
      </c>
      <c r="S17" s="122">
        <v>363</v>
      </c>
      <c r="T17" s="167">
        <v>206.071</v>
      </c>
      <c r="U17" s="124">
        <f t="shared" si="3"/>
        <v>2.2728034997143817E-3</v>
      </c>
      <c r="V17" s="76"/>
      <c r="W17" s="122"/>
      <c r="X17" s="122"/>
      <c r="Y17" s="167"/>
      <c r="Z17" s="124"/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201" t="s">
        <v>2</v>
      </c>
      <c r="B36" s="32">
        <f>SUM(B$12:B$35)</f>
        <v>28</v>
      </c>
      <c r="C36" s="7">
        <f t="shared" ref="C36:E36" si="4">SUM(C$12:C$35)</f>
        <v>281571</v>
      </c>
      <c r="D36" s="7">
        <f t="shared" si="4"/>
        <v>136921</v>
      </c>
      <c r="E36" s="151">
        <f t="shared" si="4"/>
        <v>115939.117</v>
      </c>
      <c r="F36" s="64">
        <f>SUM(F$12:F$35)</f>
        <v>1</v>
      </c>
      <c r="G36" s="45">
        <f>SUM(G$12:G$35)</f>
        <v>28</v>
      </c>
      <c r="H36" s="65">
        <f t="shared" ref="H36:J36" si="5">SUM(H$12:H$35)</f>
        <v>277031</v>
      </c>
      <c r="I36" s="65">
        <f t="shared" si="5"/>
        <v>132239</v>
      </c>
      <c r="J36" s="161">
        <f t="shared" si="5"/>
        <v>110188.113</v>
      </c>
      <c r="K36" s="66">
        <f>SUM(K$12:K$35)</f>
        <v>1</v>
      </c>
      <c r="L36" s="77">
        <f>SUM(L$12:L$35)</f>
        <v>26</v>
      </c>
      <c r="M36" s="125">
        <f t="shared" ref="M36:O36" si="6">SUM(M$12:M$35)</f>
        <v>242060</v>
      </c>
      <c r="N36" s="125">
        <f t="shared" si="6"/>
        <v>110234</v>
      </c>
      <c r="O36" s="168">
        <f t="shared" si="6"/>
        <v>91913.683999999994</v>
      </c>
      <c r="P36" s="127">
        <f>SUM(P$12:P$35)</f>
        <v>1</v>
      </c>
      <c r="Q36" s="77">
        <f>SUM(Q$12:Q$35)</f>
        <v>26</v>
      </c>
      <c r="R36" s="125">
        <f t="shared" ref="R36:T36" si="7">SUM(R$12:R$35)</f>
        <v>244130</v>
      </c>
      <c r="S36" s="125">
        <f t="shared" si="7"/>
        <v>109859</v>
      </c>
      <c r="T36" s="168">
        <f t="shared" si="7"/>
        <v>90668.198999999993</v>
      </c>
      <c r="U36" s="127">
        <f>SUM(U$12:U$35)</f>
        <v>1.0000000000000002</v>
      </c>
      <c r="V36" s="77">
        <f t="shared" ref="V36:Z36" si="8">SUM(V$12:V$35)</f>
        <v>0</v>
      </c>
      <c r="W36" s="125">
        <f t="shared" si="8"/>
        <v>0</v>
      </c>
      <c r="X36" s="125">
        <f t="shared" si="8"/>
        <v>0</v>
      </c>
      <c r="Y36" s="168">
        <f t="shared" si="8"/>
        <v>0</v>
      </c>
      <c r="Z36" s="127">
        <f t="shared" si="8"/>
        <v>0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202" t="str">
        <f>Translation!$A$30</f>
        <v>Vorsorgeeinrichtungen ohne Staatsgarantie</v>
      </c>
    </row>
    <row r="52" spans="1:26" x14ac:dyDescent="0.2">
      <c r="A52" s="200" t="str">
        <f>$A$12</f>
        <v>unter -20.0%</v>
      </c>
      <c r="B52" s="33"/>
      <c r="C52" s="8"/>
      <c r="D52" s="8"/>
      <c r="E52" s="152"/>
      <c r="F52" s="34"/>
      <c r="G52" s="47"/>
      <c r="H52" s="48"/>
      <c r="I52" s="48"/>
      <c r="J52" s="162"/>
      <c r="K52" s="50"/>
      <c r="L52" s="128"/>
      <c r="M52" s="129"/>
      <c r="N52" s="129"/>
      <c r="O52" s="169"/>
      <c r="P52" s="131"/>
      <c r="Q52" s="128"/>
      <c r="R52" s="129"/>
      <c r="S52" s="129"/>
      <c r="T52" s="169"/>
      <c r="U52" s="131"/>
      <c r="V52" s="128"/>
      <c r="W52" s="129"/>
      <c r="X52" s="129"/>
      <c r="Y52" s="169"/>
      <c r="Z52" s="131"/>
    </row>
    <row r="53" spans="1:26" x14ac:dyDescent="0.2">
      <c r="A53" s="200" t="str">
        <f>$A$13</f>
        <v>-20.0% – -10.1%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9"/>
      <c r="P53" s="131"/>
      <c r="Q53" s="128"/>
      <c r="R53" s="129"/>
      <c r="S53" s="129"/>
      <c r="T53" s="169"/>
      <c r="U53" s="131"/>
      <c r="V53" s="128"/>
      <c r="W53" s="129"/>
      <c r="X53" s="129"/>
      <c r="Y53" s="169"/>
      <c r="Z53" s="131"/>
    </row>
    <row r="54" spans="1:26" x14ac:dyDescent="0.2">
      <c r="A54" s="200" t="str">
        <f>$A$14</f>
        <v>-10.0% – -0.1%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9"/>
      <c r="P54" s="131"/>
      <c r="Q54" s="128"/>
      <c r="R54" s="129"/>
      <c r="S54" s="129"/>
      <c r="T54" s="169"/>
      <c r="U54" s="131"/>
      <c r="V54" s="128"/>
      <c r="W54" s="129"/>
      <c r="X54" s="129"/>
      <c r="Y54" s="169"/>
      <c r="Z54" s="131"/>
    </row>
    <row r="55" spans="1:26" x14ac:dyDescent="0.2">
      <c r="A55" s="200" t="str">
        <f>$A$15</f>
        <v>0.0% – 9.9%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x14ac:dyDescent="0.2">
      <c r="A56" s="200" t="str">
        <f>$A$16</f>
        <v>10.0% – 19.9%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customHeight="1" x14ac:dyDescent="0.2">
      <c r="A57" s="200" t="str">
        <f>$A$17</f>
        <v>20.0% oder höher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200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200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200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200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200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200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200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200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200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200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200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200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200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200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200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200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200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201" t="s">
        <v>2</v>
      </c>
      <c r="B76" s="35">
        <f>SUM(B$52:B$75)</f>
        <v>0</v>
      </c>
      <c r="C76" s="9">
        <f>SUM(C$52:C$75)</f>
        <v>0</v>
      </c>
      <c r="D76" s="9">
        <f>SUM(D$52:D$75)</f>
        <v>0</v>
      </c>
      <c r="E76" s="153">
        <f>SUM(E$52:E$75)</f>
        <v>0</v>
      </c>
      <c r="F76" s="67">
        <f t="shared" ref="F76" si="9">SUM(F$52:F$75)</f>
        <v>0</v>
      </c>
      <c r="G76" s="51">
        <f>SUM(G$52:G$75)</f>
        <v>0</v>
      </c>
      <c r="H76" s="68">
        <f>SUM(H$52:H$75)</f>
        <v>0</v>
      </c>
      <c r="I76" s="68">
        <f>SUM(I$52:I$75)</f>
        <v>0</v>
      </c>
      <c r="J76" s="163">
        <f>SUM(J$52:J$75)</f>
        <v>0</v>
      </c>
      <c r="K76" s="69">
        <f t="shared" ref="K76" si="10">SUM(K$52:K$75)</f>
        <v>0</v>
      </c>
      <c r="L76" s="132">
        <f>SUM(L$52:L$75)</f>
        <v>0</v>
      </c>
      <c r="M76" s="133">
        <f>SUM(M$52:M$75)</f>
        <v>0</v>
      </c>
      <c r="N76" s="133">
        <f>SUM(N$52:N$75)</f>
        <v>0</v>
      </c>
      <c r="O76" s="170">
        <f>SUM(O$52:O$75)</f>
        <v>0</v>
      </c>
      <c r="P76" s="135">
        <f t="shared" ref="P76" si="11">SUM(P$52:P$75)</f>
        <v>0</v>
      </c>
      <c r="Q76" s="132">
        <f>SUM(Q$52:Q$75)</f>
        <v>0</v>
      </c>
      <c r="R76" s="133">
        <f>SUM(R$52:R$75)</f>
        <v>0</v>
      </c>
      <c r="S76" s="133">
        <f>SUM(S$52:S$75)</f>
        <v>0</v>
      </c>
      <c r="T76" s="170">
        <f>SUM(T$52:T$75)</f>
        <v>0</v>
      </c>
      <c r="U76" s="135">
        <f t="shared" ref="U76:Z76" si="12">SUM(U$52:U$75)</f>
        <v>0</v>
      </c>
      <c r="V76" s="132">
        <f t="shared" si="12"/>
        <v>0</v>
      </c>
      <c r="W76" s="133">
        <f t="shared" si="12"/>
        <v>0</v>
      </c>
      <c r="X76" s="133">
        <f t="shared" si="12"/>
        <v>0</v>
      </c>
      <c r="Y76" s="170">
        <f t="shared" si="12"/>
        <v>0</v>
      </c>
      <c r="Z76" s="135">
        <f t="shared" si="12"/>
        <v>0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203" t="str">
        <f>Translation!$A$31</f>
        <v>Vorsorgeeinrichtungen mit Staatsgarantie</v>
      </c>
    </row>
    <row r="92" spans="1:26" x14ac:dyDescent="0.2">
      <c r="A92" s="200" t="str">
        <f>$A$12</f>
        <v>unter -20.0%</v>
      </c>
      <c r="B92" s="36">
        <v>1</v>
      </c>
      <c r="C92" s="10">
        <v>7181</v>
      </c>
      <c r="D92" s="10">
        <v>4416</v>
      </c>
      <c r="E92" s="154">
        <v>3306.7739999999999</v>
      </c>
      <c r="F92" s="37">
        <f t="shared" ref="F92:F97" si="13">E92/E$116</f>
        <v>2.8521642095997678E-2</v>
      </c>
      <c r="G92" s="53">
        <v>2</v>
      </c>
      <c r="H92" s="54">
        <v>54493</v>
      </c>
      <c r="I92" s="54">
        <v>27717</v>
      </c>
      <c r="J92" s="164">
        <v>23885.664000000001</v>
      </c>
      <c r="K92" s="56">
        <f t="shared" ref="K92:K97" si="14">J92/J$116</f>
        <v>0.21677169478344729</v>
      </c>
      <c r="L92" s="136">
        <v>3</v>
      </c>
      <c r="M92" s="137">
        <v>72202</v>
      </c>
      <c r="N92" s="137">
        <v>35733</v>
      </c>
      <c r="O92" s="171">
        <v>27499.941999999999</v>
      </c>
      <c r="P92" s="139">
        <f t="shared" ref="P92:P97" si="15">O92/O$116</f>
        <v>0.29919312123317787</v>
      </c>
      <c r="Q92" s="136">
        <v>1</v>
      </c>
      <c r="R92" s="137">
        <v>18553</v>
      </c>
      <c r="S92" s="137">
        <v>8206</v>
      </c>
      <c r="T92" s="171">
        <v>5603.7870000000003</v>
      </c>
      <c r="U92" s="139">
        <f t="shared" ref="U92:U97" si="16">T92/T$116</f>
        <v>6.1805429707498666E-2</v>
      </c>
      <c r="V92" s="136"/>
      <c r="W92" s="137"/>
      <c r="X92" s="137"/>
      <c r="Y92" s="171"/>
      <c r="Z92" s="139"/>
    </row>
    <row r="93" spans="1:26" x14ac:dyDescent="0.2">
      <c r="A93" s="200" t="str">
        <f>$A$13</f>
        <v>-20.0% – -10.1%</v>
      </c>
      <c r="B93" s="36">
        <v>6</v>
      </c>
      <c r="C93" s="10">
        <v>85236</v>
      </c>
      <c r="D93" s="10">
        <v>43509</v>
      </c>
      <c r="E93" s="154">
        <v>35471.016000000003</v>
      </c>
      <c r="F93" s="37">
        <f t="shared" si="13"/>
        <v>0.30594519708132678</v>
      </c>
      <c r="G93" s="53">
        <v>8</v>
      </c>
      <c r="H93" s="54">
        <v>44870</v>
      </c>
      <c r="I93" s="54">
        <v>21653</v>
      </c>
      <c r="J93" s="164">
        <v>15889.319</v>
      </c>
      <c r="K93" s="56">
        <f t="shared" si="14"/>
        <v>0.14420175250664288</v>
      </c>
      <c r="L93" s="136">
        <v>6</v>
      </c>
      <c r="M93" s="137">
        <v>18823</v>
      </c>
      <c r="N93" s="137">
        <v>9732</v>
      </c>
      <c r="O93" s="171">
        <v>7843.5510000000004</v>
      </c>
      <c r="P93" s="139">
        <f t="shared" si="15"/>
        <v>8.5336052899370254E-2</v>
      </c>
      <c r="Q93" s="136">
        <v>9</v>
      </c>
      <c r="R93" s="137">
        <v>127848</v>
      </c>
      <c r="S93" s="137">
        <v>59644</v>
      </c>
      <c r="T93" s="171">
        <v>50318.353999999999</v>
      </c>
      <c r="U93" s="139">
        <f t="shared" si="16"/>
        <v>0.55497246614548945</v>
      </c>
      <c r="V93" s="136"/>
      <c r="W93" s="137"/>
      <c r="X93" s="137"/>
      <c r="Y93" s="171"/>
      <c r="Z93" s="139"/>
    </row>
    <row r="94" spans="1:26" x14ac:dyDescent="0.2">
      <c r="A94" s="200" t="str">
        <f>$A$14</f>
        <v>-10.0% – -0.1%</v>
      </c>
      <c r="B94" s="36">
        <v>14</v>
      </c>
      <c r="C94" s="10">
        <v>141587</v>
      </c>
      <c r="D94" s="10">
        <v>63090</v>
      </c>
      <c r="E94" s="154">
        <v>55097.512999999999</v>
      </c>
      <c r="F94" s="37">
        <f t="shared" si="13"/>
        <v>0.4752279853916776</v>
      </c>
      <c r="G94" s="53">
        <v>14</v>
      </c>
      <c r="H94" s="54">
        <v>165839</v>
      </c>
      <c r="I94" s="54">
        <v>78971</v>
      </c>
      <c r="J94" s="164">
        <v>66433.317999999999</v>
      </c>
      <c r="K94" s="56">
        <f t="shared" si="14"/>
        <v>0.60290821025313324</v>
      </c>
      <c r="L94" s="136">
        <v>13</v>
      </c>
      <c r="M94" s="137">
        <v>139486</v>
      </c>
      <c r="N94" s="137">
        <v>61023</v>
      </c>
      <c r="O94" s="171">
        <v>52727.216999999997</v>
      </c>
      <c r="P94" s="139">
        <f t="shared" si="15"/>
        <v>0.57366014183481107</v>
      </c>
      <c r="Q94" s="136">
        <v>12</v>
      </c>
      <c r="R94" s="137">
        <v>76386</v>
      </c>
      <c r="S94" s="137">
        <v>33959</v>
      </c>
      <c r="T94" s="171">
        <v>26955.723000000002</v>
      </c>
      <c r="U94" s="139">
        <f t="shared" si="16"/>
        <v>0.2973007437811796</v>
      </c>
      <c r="V94" s="136"/>
      <c r="W94" s="137"/>
      <c r="X94" s="137"/>
      <c r="Y94" s="171"/>
      <c r="Z94" s="139"/>
    </row>
    <row r="95" spans="1:26" x14ac:dyDescent="0.2">
      <c r="A95" s="200" t="str">
        <f>$A$15</f>
        <v>0.0% – 9.9%</v>
      </c>
      <c r="B95" s="36">
        <v>5</v>
      </c>
      <c r="C95" s="10">
        <v>46066</v>
      </c>
      <c r="D95" s="10">
        <v>25033</v>
      </c>
      <c r="E95" s="154">
        <v>21527.733</v>
      </c>
      <c r="F95" s="37">
        <f t="shared" si="13"/>
        <v>0.18568136067484453</v>
      </c>
      <c r="G95" s="53">
        <v>2</v>
      </c>
      <c r="H95" s="54">
        <v>10360</v>
      </c>
      <c r="I95" s="54">
        <v>3043</v>
      </c>
      <c r="J95" s="164">
        <v>3458.866</v>
      </c>
      <c r="K95" s="56">
        <f t="shared" si="14"/>
        <v>3.1390554805126758E-2</v>
      </c>
      <c r="L95" s="136">
        <v>2</v>
      </c>
      <c r="M95" s="137">
        <v>10126</v>
      </c>
      <c r="N95" s="137">
        <v>2917</v>
      </c>
      <c r="O95" s="171">
        <v>3334.4389999999999</v>
      </c>
      <c r="P95" s="139">
        <f t="shared" si="15"/>
        <v>3.6277938766984902E-2</v>
      </c>
      <c r="Q95" s="136">
        <v>3</v>
      </c>
      <c r="R95" s="137">
        <v>20874</v>
      </c>
      <c r="S95" s="137">
        <v>7687</v>
      </c>
      <c r="T95" s="171">
        <v>7584.2640000000001</v>
      </c>
      <c r="U95" s="139">
        <f t="shared" si="16"/>
        <v>8.3648556866117968E-2</v>
      </c>
      <c r="V95" s="136"/>
      <c r="W95" s="137"/>
      <c r="X95" s="137"/>
      <c r="Y95" s="171"/>
      <c r="Z95" s="139"/>
    </row>
    <row r="96" spans="1:26" x14ac:dyDescent="0.2">
      <c r="A96" s="200" t="str">
        <f>$A$16</f>
        <v>10.0% – 19.9%</v>
      </c>
      <c r="B96" s="36">
        <v>1</v>
      </c>
      <c r="C96" s="10">
        <v>1061</v>
      </c>
      <c r="D96" s="10">
        <v>498</v>
      </c>
      <c r="E96" s="154">
        <v>322.23500000000001</v>
      </c>
      <c r="F96" s="37">
        <f t="shared" si="13"/>
        <v>2.7793466807238148E-3</v>
      </c>
      <c r="G96" s="53">
        <v>1</v>
      </c>
      <c r="H96" s="54">
        <v>1017</v>
      </c>
      <c r="I96" s="54">
        <v>491</v>
      </c>
      <c r="J96" s="164">
        <v>316.904</v>
      </c>
      <c r="K96" s="56">
        <f t="shared" si="14"/>
        <v>2.8760271082961552E-3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15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6"/>
        <v>0</v>
      </c>
      <c r="V96" s="136"/>
      <c r="W96" s="137"/>
      <c r="X96" s="137"/>
      <c r="Y96" s="171"/>
      <c r="Z96" s="139"/>
    </row>
    <row r="97" spans="1:26" ht="12.75" customHeight="1" x14ac:dyDescent="0.2">
      <c r="A97" s="200" t="str">
        <f>$A$17</f>
        <v>20.0% oder höher</v>
      </c>
      <c r="B97" s="36">
        <v>1</v>
      </c>
      <c r="C97" s="10">
        <v>440</v>
      </c>
      <c r="D97" s="10">
        <v>375</v>
      </c>
      <c r="E97" s="154">
        <v>213.846</v>
      </c>
      <c r="F97" s="37">
        <f t="shared" si="13"/>
        <v>1.8444680754296241E-3</v>
      </c>
      <c r="G97" s="53">
        <v>1</v>
      </c>
      <c r="H97" s="54">
        <v>452</v>
      </c>
      <c r="I97" s="54">
        <v>364</v>
      </c>
      <c r="J97" s="164">
        <v>204.042</v>
      </c>
      <c r="K97" s="56">
        <f t="shared" si="14"/>
        <v>1.8517605433537102E-3</v>
      </c>
      <c r="L97" s="136">
        <v>2</v>
      </c>
      <c r="M97" s="137">
        <v>1423</v>
      </c>
      <c r="N97" s="137">
        <v>829</v>
      </c>
      <c r="O97" s="171">
        <v>508.53500000000003</v>
      </c>
      <c r="P97" s="139">
        <f t="shared" si="15"/>
        <v>5.5327452656559828E-3</v>
      </c>
      <c r="Q97" s="136">
        <v>1</v>
      </c>
      <c r="R97" s="137">
        <v>469</v>
      </c>
      <c r="S97" s="137">
        <v>363</v>
      </c>
      <c r="T97" s="171">
        <v>206.071</v>
      </c>
      <c r="U97" s="139">
        <f t="shared" si="16"/>
        <v>2.2728034997143817E-3</v>
      </c>
      <c r="V97" s="136"/>
      <c r="W97" s="137"/>
      <c r="X97" s="137"/>
      <c r="Y97" s="171"/>
      <c r="Z97" s="139"/>
    </row>
    <row r="98" spans="1:26" ht="12.75" hidden="1" customHeight="1" x14ac:dyDescent="0.2">
      <c r="A98" s="200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200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200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200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200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200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200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200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200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200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200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200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200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200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200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200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200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201" t="s">
        <v>2</v>
      </c>
      <c r="B116" s="38">
        <f>SUM(B$92:B$115)</f>
        <v>28</v>
      </c>
      <c r="C116" s="11">
        <f>SUM(C$92:C$115)</f>
        <v>281571</v>
      </c>
      <c r="D116" s="11">
        <f>SUM(D$92:D$115)</f>
        <v>136921</v>
      </c>
      <c r="E116" s="155">
        <f>SUM(E$92:E$115)</f>
        <v>115939.117</v>
      </c>
      <c r="F116" s="70">
        <f t="shared" ref="F116" si="17">SUM(F$92:F$115)</f>
        <v>1</v>
      </c>
      <c r="G116" s="57">
        <f>SUM(G$92:G$115)</f>
        <v>28</v>
      </c>
      <c r="H116" s="71">
        <f>SUM(H$92:H$115)</f>
        <v>277031</v>
      </c>
      <c r="I116" s="71">
        <f>SUM(I$92:I$115)</f>
        <v>132239</v>
      </c>
      <c r="J116" s="165">
        <f>SUM(J$92:J$115)</f>
        <v>110188.113</v>
      </c>
      <c r="K116" s="72">
        <f t="shared" ref="K116" si="18">SUM(K$92:K$115)</f>
        <v>1</v>
      </c>
      <c r="L116" s="140">
        <f>SUM(L$92:L$115)</f>
        <v>26</v>
      </c>
      <c r="M116" s="141">
        <f>SUM(M$92:M$115)</f>
        <v>242060</v>
      </c>
      <c r="N116" s="141">
        <f>SUM(N$92:N$115)</f>
        <v>110234</v>
      </c>
      <c r="O116" s="172">
        <f>SUM(O$92:O$115)</f>
        <v>91913.683999999994</v>
      </c>
      <c r="P116" s="143">
        <f t="shared" ref="P116" si="19">SUM(P$92:P$115)</f>
        <v>1</v>
      </c>
      <c r="Q116" s="140">
        <f>SUM(Q$92:Q$115)</f>
        <v>26</v>
      </c>
      <c r="R116" s="141">
        <f>SUM(R$92:R$115)</f>
        <v>244130</v>
      </c>
      <c r="S116" s="141">
        <f>SUM(S$92:S$115)</f>
        <v>109859</v>
      </c>
      <c r="T116" s="172">
        <f>SUM(T$92:T$115)</f>
        <v>90668.198999999993</v>
      </c>
      <c r="U116" s="143">
        <f t="shared" ref="U116:Z116" si="20">SUM(U$92:U$115)</f>
        <v>1.0000000000000002</v>
      </c>
      <c r="V116" s="140">
        <f t="shared" si="20"/>
        <v>0</v>
      </c>
      <c r="W116" s="141">
        <f t="shared" si="20"/>
        <v>0</v>
      </c>
      <c r="X116" s="141">
        <f t="shared" si="20"/>
        <v>0</v>
      </c>
      <c r="Y116" s="172">
        <f t="shared" si="20"/>
        <v>0</v>
      </c>
      <c r="Z116" s="143">
        <f t="shared" si="20"/>
        <v>0</v>
      </c>
    </row>
    <row r="120" spans="1:26" x14ac:dyDescent="0.2">
      <c r="A120" s="196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7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Translation!$A$395</f>
        <v>Rechtsform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Translation!$A396</f>
        <v>Privatrechtliche Stiftung</v>
      </c>
      <c r="B12" s="30">
        <v>1563</v>
      </c>
      <c r="C12" s="6">
        <v>3459697</v>
      </c>
      <c r="D12" s="6">
        <v>615269</v>
      </c>
      <c r="E12" s="150">
        <v>638899.63399999996</v>
      </c>
      <c r="F12" s="31">
        <f>E12/E$36</f>
        <v>0.70730463316805425</v>
      </c>
      <c r="G12" s="41">
        <v>1590</v>
      </c>
      <c r="H12" s="42">
        <v>3352063</v>
      </c>
      <c r="I12" s="42">
        <v>595544</v>
      </c>
      <c r="J12" s="160">
        <v>607070.22600000002</v>
      </c>
      <c r="K12" s="44">
        <f>J12/J$36</f>
        <v>0.70584214900959952</v>
      </c>
      <c r="L12" s="76">
        <v>1650</v>
      </c>
      <c r="M12" s="122">
        <v>3353453</v>
      </c>
      <c r="N12" s="122">
        <v>593024</v>
      </c>
      <c r="O12" s="167">
        <v>578707.41399999999</v>
      </c>
      <c r="P12" s="124">
        <f>O12/O$36</f>
        <v>0.70297176528637351</v>
      </c>
      <c r="Q12" s="76">
        <v>1745</v>
      </c>
      <c r="R12" s="122">
        <v>3322546</v>
      </c>
      <c r="S12" s="122">
        <v>586032</v>
      </c>
      <c r="T12" s="167">
        <v>566928.12899999996</v>
      </c>
      <c r="U12" s="124">
        <f>T12/T$36</f>
        <v>0.70510728867840999</v>
      </c>
      <c r="V12" s="76">
        <v>1793</v>
      </c>
      <c r="W12" s="122">
        <v>3185775</v>
      </c>
      <c r="X12" s="122">
        <v>633456</v>
      </c>
      <c r="Y12" s="167">
        <v>489822.95699999999</v>
      </c>
      <c r="Z12" s="124">
        <f>Y12/Y$36</f>
        <v>0.65707932124419044</v>
      </c>
    </row>
    <row r="13" spans="1:26" x14ac:dyDescent="0.2">
      <c r="A13" s="114" t="str">
        <f>Translation!$A397</f>
        <v>Privatrechtliche Genossenschaft</v>
      </c>
      <c r="B13" s="30">
        <v>13</v>
      </c>
      <c r="C13" s="6">
        <v>133969</v>
      </c>
      <c r="D13" s="6">
        <v>21541</v>
      </c>
      <c r="E13" s="150">
        <v>23623.841</v>
      </c>
      <c r="F13" s="31">
        <f>E13/E$36</f>
        <v>2.6153172272008911E-2</v>
      </c>
      <c r="G13" s="41">
        <v>14</v>
      </c>
      <c r="H13" s="42">
        <v>123129</v>
      </c>
      <c r="I13" s="42">
        <v>21459</v>
      </c>
      <c r="J13" s="160">
        <v>22258.699000000001</v>
      </c>
      <c r="K13" s="44">
        <f>J13/J$36</f>
        <v>2.5880247891316984E-2</v>
      </c>
      <c r="L13" s="76">
        <v>16</v>
      </c>
      <c r="M13" s="122">
        <v>117504</v>
      </c>
      <c r="N13" s="122">
        <v>20507</v>
      </c>
      <c r="O13" s="167">
        <v>21342.891</v>
      </c>
      <c r="P13" s="124">
        <f>O13/O$36</f>
        <v>2.592579496931182E-2</v>
      </c>
      <c r="Q13" s="76">
        <v>16</v>
      </c>
      <c r="R13" s="122">
        <v>113367</v>
      </c>
      <c r="S13" s="122">
        <v>20313</v>
      </c>
      <c r="T13" s="167">
        <v>20280.218000000001</v>
      </c>
      <c r="U13" s="124">
        <f>T13/T$36</f>
        <v>2.5223178735213347E-2</v>
      </c>
      <c r="V13" s="76">
        <v>17</v>
      </c>
      <c r="W13" s="122">
        <v>108488</v>
      </c>
      <c r="X13" s="122">
        <v>19081</v>
      </c>
      <c r="Y13" s="167">
        <v>18656.330999999998</v>
      </c>
      <c r="Z13" s="124">
        <f>Y13/Y$36</f>
        <v>2.5026775767038923E-2</v>
      </c>
    </row>
    <row r="14" spans="1:26" x14ac:dyDescent="0.2">
      <c r="A14" s="114" t="str">
        <f>Translation!$A398</f>
        <v>Einrichtung öffentlichen Rechts</v>
      </c>
      <c r="B14" s="30">
        <v>78</v>
      </c>
      <c r="C14" s="6">
        <v>582246</v>
      </c>
      <c r="D14" s="6">
        <v>280681</v>
      </c>
      <c r="E14" s="150">
        <v>240764.30799999999</v>
      </c>
      <c r="F14" s="31">
        <f>E14/E$36</f>
        <v>0.26654219455993683</v>
      </c>
      <c r="G14" s="41">
        <v>78</v>
      </c>
      <c r="H14" s="42">
        <v>574902</v>
      </c>
      <c r="I14" s="42">
        <v>271822</v>
      </c>
      <c r="J14" s="160">
        <v>230736.21400000001</v>
      </c>
      <c r="K14" s="44">
        <f>J14/J$36</f>
        <v>0.26827760309908338</v>
      </c>
      <c r="L14" s="76">
        <v>77</v>
      </c>
      <c r="M14" s="122">
        <v>567198</v>
      </c>
      <c r="N14" s="122">
        <v>265070</v>
      </c>
      <c r="O14" s="167">
        <v>223179.649</v>
      </c>
      <c r="P14" s="124">
        <f>O14/O$36</f>
        <v>0.2711024397443148</v>
      </c>
      <c r="Q14" s="76">
        <v>84</v>
      </c>
      <c r="R14" s="122">
        <v>568124</v>
      </c>
      <c r="S14" s="122">
        <v>262473</v>
      </c>
      <c r="T14" s="167">
        <v>216822.66800000001</v>
      </c>
      <c r="U14" s="124">
        <f>T14/T$36</f>
        <v>0.26966953258637671</v>
      </c>
      <c r="V14" s="76">
        <v>95</v>
      </c>
      <c r="W14" s="122">
        <v>638485</v>
      </c>
      <c r="X14" s="122">
        <v>290795</v>
      </c>
      <c r="Y14" s="167">
        <v>236975.54699999999</v>
      </c>
      <c r="Z14" s="124">
        <f>Y14/Y$36</f>
        <v>0.31789390298877063</v>
      </c>
    </row>
    <row r="15" spans="1:26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  <c r="Q15" s="76"/>
      <c r="R15" s="122"/>
      <c r="S15" s="122"/>
      <c r="T15" s="167"/>
      <c r="U15" s="124"/>
      <c r="V15" s="76"/>
      <c r="W15" s="122"/>
      <c r="X15" s="122"/>
      <c r="Y15" s="167"/>
      <c r="Z15" s="124"/>
    </row>
    <row r="16" spans="1:26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  <c r="Q16" s="76"/>
      <c r="R16" s="122"/>
      <c r="S16" s="122"/>
      <c r="T16" s="167"/>
      <c r="U16" s="124"/>
      <c r="V16" s="76"/>
      <c r="W16" s="122"/>
      <c r="X16" s="122"/>
      <c r="Y16" s="167"/>
      <c r="Z16" s="124"/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0.99999999999999978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823229.95399999991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804031.0149999999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Privatrechtliche Stiftung</v>
      </c>
      <c r="B52" s="33">
        <v>1561</v>
      </c>
      <c r="C52" s="8">
        <v>3458319</v>
      </c>
      <c r="D52" s="8">
        <v>614585</v>
      </c>
      <c r="E52" s="152">
        <v>638454.17000000004</v>
      </c>
      <c r="F52" s="34">
        <f>E52/E$76</f>
        <v>0.82993982305473557</v>
      </c>
      <c r="G52" s="47">
        <v>1587</v>
      </c>
      <c r="H52" s="48">
        <v>3350668</v>
      </c>
      <c r="I52" s="48">
        <v>594837</v>
      </c>
      <c r="J52" s="162">
        <v>606624.48</v>
      </c>
      <c r="K52" s="50">
        <f>J52/J$76</f>
        <v>0.82783107621775776</v>
      </c>
      <c r="L52" s="128">
        <v>1647</v>
      </c>
      <c r="M52" s="129">
        <v>3352091</v>
      </c>
      <c r="N52" s="129">
        <v>592354</v>
      </c>
      <c r="O52" s="169">
        <v>578282.25699999998</v>
      </c>
      <c r="P52" s="131">
        <f>O52/O$76</f>
        <v>0.82144472753488018</v>
      </c>
      <c r="Q52" s="128">
        <v>1742</v>
      </c>
      <c r="R52" s="129">
        <v>3320786</v>
      </c>
      <c r="S52" s="129">
        <v>585166</v>
      </c>
      <c r="T52" s="169">
        <v>566395.54099999997</v>
      </c>
      <c r="U52" s="131">
        <f>T52/T$76</f>
        <v>0.83449328198815653</v>
      </c>
      <c r="V52" s="128">
        <v>1790</v>
      </c>
      <c r="W52" s="129">
        <v>3184238</v>
      </c>
      <c r="X52" s="129">
        <v>632778</v>
      </c>
      <c r="Y52" s="169">
        <v>489403.69199999998</v>
      </c>
      <c r="Z52" s="131">
        <f>Y52/Y$76</f>
        <v>0.79363793366366886</v>
      </c>
    </row>
    <row r="53" spans="1:26" x14ac:dyDescent="0.2">
      <c r="A53" s="114" t="str">
        <f>$A$13</f>
        <v>Privatrechtliche Genossenschaft</v>
      </c>
      <c r="B53" s="33">
        <v>13</v>
      </c>
      <c r="C53" s="8">
        <v>133969</v>
      </c>
      <c r="D53" s="8">
        <v>21541</v>
      </c>
      <c r="E53" s="152">
        <v>23623.841</v>
      </c>
      <c r="F53" s="34">
        <f>E53/E$76</f>
        <v>3.0709121093865213E-2</v>
      </c>
      <c r="G53" s="47">
        <v>14</v>
      </c>
      <c r="H53" s="48">
        <v>123129</v>
      </c>
      <c r="I53" s="48">
        <v>21459</v>
      </c>
      <c r="J53" s="162">
        <v>22258.699000000001</v>
      </c>
      <c r="K53" s="50">
        <f>J53/J$76</f>
        <v>3.0375369534010776E-2</v>
      </c>
      <c r="L53" s="128">
        <v>16</v>
      </c>
      <c r="M53" s="129">
        <v>117504</v>
      </c>
      <c r="N53" s="129">
        <v>20507</v>
      </c>
      <c r="O53" s="169">
        <v>21342.891</v>
      </c>
      <c r="P53" s="131">
        <f>O53/O$76</f>
        <v>3.0317384063024515E-2</v>
      </c>
      <c r="Q53" s="128">
        <v>16</v>
      </c>
      <c r="R53" s="129">
        <v>113367</v>
      </c>
      <c r="S53" s="129">
        <v>20313</v>
      </c>
      <c r="T53" s="169">
        <v>20280.218000000001</v>
      </c>
      <c r="U53" s="131">
        <f>T53/T$76</f>
        <v>2.9879659095436432E-2</v>
      </c>
      <c r="V53" s="128">
        <v>17</v>
      </c>
      <c r="W53" s="129">
        <v>108488</v>
      </c>
      <c r="X53" s="129">
        <v>19081</v>
      </c>
      <c r="Y53" s="169">
        <v>18656.330999999998</v>
      </c>
      <c r="Z53" s="131">
        <f>Y53/Y$76</f>
        <v>3.0253903324835255E-2</v>
      </c>
    </row>
    <row r="54" spans="1:26" x14ac:dyDescent="0.2">
      <c r="A54" s="114" t="str">
        <f>$A$14</f>
        <v>Einrichtung öffentlichen Rechts</v>
      </c>
      <c r="B54" s="33">
        <v>42</v>
      </c>
      <c r="C54" s="8">
        <v>257901</v>
      </c>
      <c r="D54" s="8">
        <v>125181</v>
      </c>
      <c r="E54" s="152">
        <v>107199.655</v>
      </c>
      <c r="F54" s="34">
        <f>E54/E$76</f>
        <v>0.13935105585139915</v>
      </c>
      <c r="G54" s="47">
        <v>42</v>
      </c>
      <c r="H54" s="48">
        <v>254257</v>
      </c>
      <c r="I54" s="48">
        <v>122431</v>
      </c>
      <c r="J54" s="162">
        <v>103904.58100000001</v>
      </c>
      <c r="K54" s="50">
        <f>J54/J$76</f>
        <v>0.14179355424823145</v>
      </c>
      <c r="L54" s="128">
        <v>42</v>
      </c>
      <c r="M54" s="129">
        <v>260217</v>
      </c>
      <c r="N54" s="129">
        <v>121906</v>
      </c>
      <c r="O54" s="169">
        <v>104356.79700000001</v>
      </c>
      <c r="P54" s="131">
        <f>O54/O$76</f>
        <v>0.14823788840209534</v>
      </c>
      <c r="Q54" s="128">
        <v>44</v>
      </c>
      <c r="R54" s="129">
        <v>230504</v>
      </c>
      <c r="S54" s="129">
        <v>109427</v>
      </c>
      <c r="T54" s="169">
        <v>92054.14</v>
      </c>
      <c r="U54" s="131">
        <f>T54/T$76</f>
        <v>0.13562705891640706</v>
      </c>
      <c r="V54" s="128">
        <v>40</v>
      </c>
      <c r="W54" s="129">
        <v>281906</v>
      </c>
      <c r="X54" s="129">
        <v>131768</v>
      </c>
      <c r="Y54" s="169">
        <v>108598.621</v>
      </c>
      <c r="Z54" s="131">
        <f>Y54/Y$76</f>
        <v>0.17610816301149587</v>
      </c>
    </row>
    <row r="55" spans="1:26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Privatrechtliche Stiftung</v>
      </c>
      <c r="B92" s="36">
        <v>2</v>
      </c>
      <c r="C92" s="10">
        <v>1378</v>
      </c>
      <c r="D92" s="10">
        <v>684</v>
      </c>
      <c r="E92" s="154">
        <v>445.464</v>
      </c>
      <c r="F92" s="37">
        <f>E92/E$116</f>
        <v>3.32410723885869E-3</v>
      </c>
      <c r="G92" s="53">
        <v>3</v>
      </c>
      <c r="H92" s="54">
        <v>1395</v>
      </c>
      <c r="I92" s="54">
        <v>707</v>
      </c>
      <c r="J92" s="164">
        <v>445.74599999999998</v>
      </c>
      <c r="K92" s="56">
        <f>J92/J$116</f>
        <v>3.5021619984804998E-3</v>
      </c>
      <c r="L92" s="136">
        <v>3</v>
      </c>
      <c r="M92" s="137">
        <v>1362</v>
      </c>
      <c r="N92" s="137">
        <v>670</v>
      </c>
      <c r="O92" s="171">
        <v>425.15699999999998</v>
      </c>
      <c r="P92" s="139">
        <f>O92/O$116</f>
        <v>3.5653173882341294E-3</v>
      </c>
      <c r="Q92" s="136">
        <v>3</v>
      </c>
      <c r="R92" s="137">
        <v>1760</v>
      </c>
      <c r="S92" s="137">
        <v>866</v>
      </c>
      <c r="T92" s="171">
        <v>532.58799999999997</v>
      </c>
      <c r="U92" s="139">
        <f>T92/T$116</f>
        <v>4.2504649360026441E-3</v>
      </c>
      <c r="V92" s="136">
        <v>3</v>
      </c>
      <c r="W92" s="137">
        <v>1537</v>
      </c>
      <c r="X92" s="137">
        <v>678</v>
      </c>
      <c r="Y92" s="171">
        <v>419.26499999999999</v>
      </c>
      <c r="Z92" s="139">
        <f>Y92/Y$116</f>
        <v>3.2552593112012136E-3</v>
      </c>
    </row>
    <row r="93" spans="1:26" x14ac:dyDescent="0.2">
      <c r="A93" s="114" t="str">
        <f>$A$13</f>
        <v>Privatrechtliche Genossenschaft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0</v>
      </c>
      <c r="H93" s="54">
        <v>0</v>
      </c>
      <c r="I93" s="54">
        <v>0</v>
      </c>
      <c r="J93" s="164">
        <v>0</v>
      </c>
      <c r="K93" s="56">
        <f>J93/J$116</f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>O93/O$116</f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>T93/T$116</f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>Y93/Y$116</f>
        <v>0</v>
      </c>
    </row>
    <row r="94" spans="1:26" x14ac:dyDescent="0.2">
      <c r="A94" s="114" t="str">
        <f>$A$14</f>
        <v>Einrichtung öffentlichen Rechts</v>
      </c>
      <c r="B94" s="36">
        <v>36</v>
      </c>
      <c r="C94" s="10">
        <v>324345</v>
      </c>
      <c r="D94" s="10">
        <v>155500</v>
      </c>
      <c r="E94" s="154">
        <v>133564.65299999999</v>
      </c>
      <c r="F94" s="37">
        <f>E94/E$116</f>
        <v>0.99667589276114121</v>
      </c>
      <c r="G94" s="53">
        <v>36</v>
      </c>
      <c r="H94" s="54">
        <v>320645</v>
      </c>
      <c r="I94" s="54">
        <v>149391</v>
      </c>
      <c r="J94" s="164">
        <v>126831.633</v>
      </c>
      <c r="K94" s="56">
        <f>J94/J$116</f>
        <v>0.99649783800151948</v>
      </c>
      <c r="L94" s="136">
        <v>35</v>
      </c>
      <c r="M94" s="137">
        <v>306981</v>
      </c>
      <c r="N94" s="137">
        <v>143164</v>
      </c>
      <c r="O94" s="171">
        <v>118822.852</v>
      </c>
      <c r="P94" s="139">
        <f>O94/O$116</f>
        <v>0.99643468261176582</v>
      </c>
      <c r="Q94" s="136">
        <v>40</v>
      </c>
      <c r="R94" s="137">
        <v>337620</v>
      </c>
      <c r="S94" s="137">
        <v>153046</v>
      </c>
      <c r="T94" s="171">
        <v>124768.52800000001</v>
      </c>
      <c r="U94" s="139">
        <f>T94/T$116</f>
        <v>0.99574953506399733</v>
      </c>
      <c r="V94" s="136">
        <v>55</v>
      </c>
      <c r="W94" s="137">
        <v>356579</v>
      </c>
      <c r="X94" s="137">
        <v>159027</v>
      </c>
      <c r="Y94" s="171">
        <v>128376.92600000001</v>
      </c>
      <c r="Z94" s="139">
        <f>Y94/Y$116</f>
        <v>0.99674474068879881</v>
      </c>
    </row>
    <row r="95" spans="1:26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  <c r="Q95" s="136"/>
      <c r="R95" s="137"/>
      <c r="S95" s="137"/>
      <c r="T95" s="171"/>
      <c r="U95" s="139"/>
      <c r="V95" s="136"/>
      <c r="W95" s="137"/>
      <c r="X95" s="137"/>
      <c r="Y95" s="171"/>
      <c r="Z95" s="139"/>
    </row>
    <row r="96" spans="1:26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  <c r="Q96" s="136"/>
      <c r="R96" s="137"/>
      <c r="S96" s="137"/>
      <c r="T96" s="171"/>
      <c r="U96" s="139"/>
      <c r="V96" s="136"/>
      <c r="W96" s="137"/>
      <c r="X96" s="137"/>
      <c r="Y96" s="171"/>
      <c r="Z96" s="139"/>
    </row>
    <row r="97" spans="1:2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0.99999999999999989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128796.19100000001</v>
      </c>
      <c r="Z116" s="143">
        <f t="shared" si="12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8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Translation!$A$399</f>
        <v>Arbeitgeber und Garantieform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Translation!$A400</f>
        <v>Privatrechtlicher Arbeitgeber</v>
      </c>
      <c r="B12" s="30">
        <v>1550</v>
      </c>
      <c r="C12" s="6">
        <v>3471103</v>
      </c>
      <c r="D12" s="6">
        <v>591223</v>
      </c>
      <c r="E12" s="150">
        <v>619199.75600000005</v>
      </c>
      <c r="F12" s="31">
        <f>E12/E$36</f>
        <v>0.68549555042526245</v>
      </c>
      <c r="G12" s="41">
        <v>1576</v>
      </c>
      <c r="H12" s="42">
        <v>3348021</v>
      </c>
      <c r="I12" s="42">
        <v>569895</v>
      </c>
      <c r="J12" s="160">
        <v>587576.05299999996</v>
      </c>
      <c r="K12" s="44">
        <f>J12/J$36</f>
        <v>0.68317622277212187</v>
      </c>
      <c r="L12" s="76">
        <v>1639</v>
      </c>
      <c r="M12" s="122">
        <v>3351547</v>
      </c>
      <c r="N12" s="122">
        <v>570504</v>
      </c>
      <c r="O12" s="167">
        <v>562288.61699999997</v>
      </c>
      <c r="P12" s="124">
        <f>O12/O$36</f>
        <v>0.68302740232894887</v>
      </c>
      <c r="Q12" s="76">
        <v>1739</v>
      </c>
      <c r="R12" s="122">
        <v>3322093</v>
      </c>
      <c r="S12" s="122">
        <v>565595</v>
      </c>
      <c r="T12" s="167">
        <v>552029.84499999997</v>
      </c>
      <c r="U12" s="124">
        <f>T12/T$36</f>
        <v>0.6865777994894886</v>
      </c>
      <c r="V12" s="76">
        <v>1792</v>
      </c>
      <c r="W12" s="122">
        <v>3263614</v>
      </c>
      <c r="X12" s="122">
        <v>643387</v>
      </c>
      <c r="Y12" s="167">
        <v>503104.34499999997</v>
      </c>
      <c r="Z12" s="124">
        <f>Y12/Y$36</f>
        <v>0.67489581042156643</v>
      </c>
    </row>
    <row r="13" spans="1:26" ht="12.75" customHeight="1" x14ac:dyDescent="0.2">
      <c r="A13" s="110" t="str">
        <f>Translation!$A401</f>
        <v>Öffentlich-rechtlicher Arbeitgeber</v>
      </c>
      <c r="B13" s="30"/>
      <c r="C13" s="6"/>
      <c r="D13" s="6"/>
      <c r="E13" s="150"/>
      <c r="F13" s="31"/>
      <c r="G13" s="41"/>
      <c r="H13" s="42"/>
      <c r="I13" s="42"/>
      <c r="J13" s="160"/>
      <c r="K13" s="44"/>
      <c r="L13" s="76"/>
      <c r="M13" s="122"/>
      <c r="N13" s="122"/>
      <c r="O13" s="167"/>
      <c r="P13" s="124"/>
      <c r="Q13" s="76"/>
      <c r="R13" s="122"/>
      <c r="S13" s="122"/>
      <c r="T13" s="167"/>
      <c r="U13" s="124"/>
      <c r="V13" s="76"/>
      <c r="W13" s="122"/>
      <c r="X13" s="122"/>
      <c r="Y13" s="167"/>
      <c r="Z13" s="124"/>
    </row>
    <row r="14" spans="1:26" x14ac:dyDescent="0.2">
      <c r="A14" s="114" t="str">
        <f>Translation!$A402</f>
        <v xml:space="preserve">   Vollkapitalisierung ohne Staatsgarantie</v>
      </c>
      <c r="B14" s="30">
        <v>66</v>
      </c>
      <c r="C14" s="6">
        <v>379086</v>
      </c>
      <c r="D14" s="6">
        <v>170084</v>
      </c>
      <c r="E14" s="150">
        <v>150077.91</v>
      </c>
      <c r="F14" s="31">
        <f>E14/E$36</f>
        <v>0.16614628562954892</v>
      </c>
      <c r="G14" s="41">
        <v>67</v>
      </c>
      <c r="H14" s="42">
        <v>380033</v>
      </c>
      <c r="I14" s="42">
        <v>168832</v>
      </c>
      <c r="J14" s="160">
        <v>145211.70699999999</v>
      </c>
      <c r="K14" s="44">
        <f>J14/J$36</f>
        <v>0.16883803378990345</v>
      </c>
      <c r="L14" s="76">
        <v>66</v>
      </c>
      <c r="M14" s="122">
        <v>378265</v>
      </c>
      <c r="N14" s="122">
        <v>164263</v>
      </c>
      <c r="O14" s="167">
        <v>141693.32800000001</v>
      </c>
      <c r="P14" s="124">
        <f>O14/O$36</f>
        <v>0.17211877108154888</v>
      </c>
      <c r="Q14" s="76">
        <v>63</v>
      </c>
      <c r="R14" s="122">
        <v>342564</v>
      </c>
      <c r="S14" s="122">
        <v>149311</v>
      </c>
      <c r="T14" s="167">
        <v>126700.054</v>
      </c>
      <c r="U14" s="124">
        <f>T14/T$36</f>
        <v>0.15758105301447858</v>
      </c>
      <c r="V14" s="76">
        <v>55</v>
      </c>
      <c r="W14" s="122">
        <v>311018</v>
      </c>
      <c r="X14" s="122">
        <v>140240</v>
      </c>
      <c r="Y14" s="167">
        <v>113554.299</v>
      </c>
      <c r="Z14" s="124">
        <f>Y14/Y$36</f>
        <v>0.15232887851616125</v>
      </c>
    </row>
    <row r="15" spans="1:26" x14ac:dyDescent="0.2">
      <c r="A15" s="114" t="str">
        <f>Translation!$A403</f>
        <v xml:space="preserve">   Vollkapitalisierung mit Staatsgarantie</v>
      </c>
      <c r="B15" s="30">
        <v>10</v>
      </c>
      <c r="C15" s="6">
        <v>44152</v>
      </c>
      <c r="D15" s="6">
        <v>19263</v>
      </c>
      <c r="E15" s="150">
        <v>18071</v>
      </c>
      <c r="F15" s="31">
        <f>E15/E$36</f>
        <v>2.0005805835193055E-2</v>
      </c>
      <c r="G15" s="41">
        <v>11</v>
      </c>
      <c r="H15" s="42">
        <v>45009</v>
      </c>
      <c r="I15" s="42">
        <v>17859</v>
      </c>
      <c r="J15" s="160">
        <v>17089.266</v>
      </c>
      <c r="K15" s="44">
        <f>J15/J$36</f>
        <v>1.9869734541118286E-2</v>
      </c>
      <c r="L15" s="76">
        <v>12</v>
      </c>
      <c r="M15" s="122">
        <v>66283</v>
      </c>
      <c r="N15" s="122">
        <v>33600</v>
      </c>
      <c r="O15" s="167">
        <v>27334.325000000001</v>
      </c>
      <c r="P15" s="124">
        <f>O15/O$36</f>
        <v>3.3203754148139274E-2</v>
      </c>
      <c r="Q15" s="76">
        <v>15</v>
      </c>
      <c r="R15" s="122">
        <v>95240</v>
      </c>
      <c r="S15" s="122">
        <v>43979</v>
      </c>
      <c r="T15" s="167">
        <v>34563.195</v>
      </c>
      <c r="U15" s="124">
        <f>T15/T$36</f>
        <v>4.298739023145768E-2</v>
      </c>
      <c r="V15" s="76">
        <v>19</v>
      </c>
      <c r="W15" s="122">
        <v>71213</v>
      </c>
      <c r="X15" s="122">
        <v>35475</v>
      </c>
      <c r="Y15" s="167">
        <v>26991.541000000001</v>
      </c>
      <c r="Z15" s="124">
        <f>Y15/Y$36</f>
        <v>3.6208150692321965E-2</v>
      </c>
    </row>
    <row r="16" spans="1:26" x14ac:dyDescent="0.2">
      <c r="A16" s="114" t="str">
        <f>Translation!$A404</f>
        <v xml:space="preserve">   Teilkapitalisierung</v>
      </c>
      <c r="B16" s="30">
        <v>28</v>
      </c>
      <c r="C16" s="6">
        <v>281571</v>
      </c>
      <c r="D16" s="6">
        <v>136921</v>
      </c>
      <c r="E16" s="150">
        <v>115939.117</v>
      </c>
      <c r="F16" s="31">
        <f>E16/E$36</f>
        <v>0.1283523581099956</v>
      </c>
      <c r="G16" s="41">
        <v>28</v>
      </c>
      <c r="H16" s="42">
        <v>277031</v>
      </c>
      <c r="I16" s="42">
        <v>132239</v>
      </c>
      <c r="J16" s="160">
        <v>110188.113</v>
      </c>
      <c r="K16" s="44">
        <f>J16/J$36</f>
        <v>0.12811600889685637</v>
      </c>
      <c r="L16" s="76">
        <v>26</v>
      </c>
      <c r="M16" s="122">
        <v>242060</v>
      </c>
      <c r="N16" s="122">
        <v>110234</v>
      </c>
      <c r="O16" s="167">
        <v>91913.683999999994</v>
      </c>
      <c r="P16" s="124">
        <f>O16/O$36</f>
        <v>0.11165007244136309</v>
      </c>
      <c r="Q16" s="76">
        <v>26</v>
      </c>
      <c r="R16" s="122">
        <v>244130</v>
      </c>
      <c r="S16" s="122">
        <v>109859</v>
      </c>
      <c r="T16" s="167">
        <v>90668.198999999993</v>
      </c>
      <c r="U16" s="124">
        <f>T16/T$36</f>
        <v>0.11276704170423078</v>
      </c>
      <c r="V16" s="76">
        <v>24</v>
      </c>
      <c r="W16" s="122">
        <v>187241</v>
      </c>
      <c r="X16" s="122">
        <v>87457</v>
      </c>
      <c r="Y16" s="167">
        <v>67638.434999999998</v>
      </c>
      <c r="Z16" s="124">
        <f>Y16/Y$36</f>
        <v>9.0734450733021291E-2</v>
      </c>
    </row>
    <row r="17" spans="1:26" x14ac:dyDescent="0.2">
      <c r="A17" s="114" t="str">
        <f>Translation!$A405</f>
        <v xml:space="preserve">   Zukünftiges System noch unklar</v>
      </c>
      <c r="B17" s="30">
        <v>0</v>
      </c>
      <c r="C17" s="6">
        <v>0</v>
      </c>
      <c r="D17" s="6">
        <v>0</v>
      </c>
      <c r="E17" s="150">
        <v>0</v>
      </c>
      <c r="F17" s="31">
        <f>E17/E$36</f>
        <v>0</v>
      </c>
      <c r="G17" s="41">
        <v>0</v>
      </c>
      <c r="H17" s="42">
        <v>0</v>
      </c>
      <c r="I17" s="42">
        <v>0</v>
      </c>
      <c r="J17" s="160">
        <v>0</v>
      </c>
      <c r="K17" s="44">
        <f>J17/J$36</f>
        <v>0</v>
      </c>
      <c r="L17" s="76">
        <v>0</v>
      </c>
      <c r="M17" s="122">
        <v>0</v>
      </c>
      <c r="N17" s="122">
        <v>0</v>
      </c>
      <c r="O17" s="167">
        <v>0</v>
      </c>
      <c r="P17" s="124">
        <f>O17/O$36</f>
        <v>0</v>
      </c>
      <c r="Q17" s="76">
        <v>2</v>
      </c>
      <c r="R17" s="122">
        <v>10</v>
      </c>
      <c r="S17" s="122">
        <v>74</v>
      </c>
      <c r="T17" s="167">
        <v>69.721999999999994</v>
      </c>
      <c r="U17" s="124">
        <f>T17/T$36</f>
        <v>8.6715560344397915E-5</v>
      </c>
      <c r="V17" s="76">
        <v>15</v>
      </c>
      <c r="W17" s="122">
        <v>99662</v>
      </c>
      <c r="X17" s="122">
        <v>36773</v>
      </c>
      <c r="Y17" s="167">
        <v>34166.214999999997</v>
      </c>
      <c r="Z17" s="124">
        <f>Y17/Y$36</f>
        <v>4.5832709636929252E-2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>SUM(C$12:C$35)</f>
        <v>4175912</v>
      </c>
      <c r="D36" s="7">
        <f>SUM(D$12:D$35)</f>
        <v>917491</v>
      </c>
      <c r="E36" s="151">
        <f>SUM(E$12:E$35)</f>
        <v>903287.78300000005</v>
      </c>
      <c r="F36" s="64">
        <f t="shared" ref="F36" si="0">SUM(F$12:F$35)</f>
        <v>1</v>
      </c>
      <c r="G36" s="45">
        <f>SUM(G$12:G$35)</f>
        <v>1682</v>
      </c>
      <c r="H36" s="65">
        <f>SUM(H$12:H$35)</f>
        <v>4050094</v>
      </c>
      <c r="I36" s="65">
        <f>SUM(I$12:I$35)</f>
        <v>888825</v>
      </c>
      <c r="J36" s="161">
        <f>SUM(J$12:J$35)</f>
        <v>860065.13899999997</v>
      </c>
      <c r="K36" s="66">
        <f t="shared" ref="K36" si="1">SUM(K$12:K$35)</f>
        <v>1</v>
      </c>
      <c r="L36" s="77">
        <f>SUM(L$12:L$35)</f>
        <v>1743</v>
      </c>
      <c r="M36" s="125">
        <f>SUM(M$12:M$35)</f>
        <v>4038155</v>
      </c>
      <c r="N36" s="125">
        <f>SUM(N$12:N$35)</f>
        <v>878601</v>
      </c>
      <c r="O36" s="168">
        <f>SUM(O$12:O$35)</f>
        <v>823229.95399999991</v>
      </c>
      <c r="P36" s="127">
        <f t="shared" ref="P36" si="2">SUM(P$12:P$35)</f>
        <v>1</v>
      </c>
      <c r="Q36" s="77">
        <f>SUM(Q$12:Q$35)</f>
        <v>1845</v>
      </c>
      <c r="R36" s="125">
        <f>SUM(R$12:R$35)</f>
        <v>4004037</v>
      </c>
      <c r="S36" s="125">
        <f>SUM(S$12:S$35)</f>
        <v>868818</v>
      </c>
      <c r="T36" s="168">
        <f>SUM(T$12:T$35)</f>
        <v>804031.0149999999</v>
      </c>
      <c r="U36" s="127">
        <f t="shared" ref="U36:Z36" si="3">SUM(U$12:U$35)</f>
        <v>1</v>
      </c>
      <c r="V36" s="77">
        <f t="shared" si="3"/>
        <v>1905</v>
      </c>
      <c r="W36" s="125">
        <f t="shared" si="3"/>
        <v>3932748</v>
      </c>
      <c r="X36" s="125">
        <f t="shared" si="3"/>
        <v>943332</v>
      </c>
      <c r="Y36" s="168">
        <f t="shared" si="3"/>
        <v>745454.83499999985</v>
      </c>
      <c r="Z36" s="127">
        <f t="shared" si="3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Privatrechtlicher Arbeitgeber</v>
      </c>
      <c r="B52" s="33">
        <v>1550</v>
      </c>
      <c r="C52" s="8">
        <v>3471103</v>
      </c>
      <c r="D52" s="8">
        <v>591223</v>
      </c>
      <c r="E52" s="152">
        <v>619199.75600000005</v>
      </c>
      <c r="F52" s="34">
        <f>E52/E$76</f>
        <v>0.80491061078068527</v>
      </c>
      <c r="G52" s="47">
        <v>1576</v>
      </c>
      <c r="H52" s="48">
        <v>3348021</v>
      </c>
      <c r="I52" s="48">
        <v>569895</v>
      </c>
      <c r="J52" s="162">
        <v>587576.05299999996</v>
      </c>
      <c r="K52" s="50">
        <f>J52/J$76</f>
        <v>0.80183660955253944</v>
      </c>
      <c r="L52" s="128">
        <v>1639</v>
      </c>
      <c r="M52" s="129">
        <v>3351547</v>
      </c>
      <c r="N52" s="129">
        <v>570504</v>
      </c>
      <c r="O52" s="169">
        <v>562288.61699999997</v>
      </c>
      <c r="P52" s="131">
        <f>O52/O$76</f>
        <v>0.79872590624465523</v>
      </c>
      <c r="Q52" s="128">
        <v>1739</v>
      </c>
      <c r="R52" s="129">
        <v>3322093</v>
      </c>
      <c r="S52" s="129">
        <v>565595</v>
      </c>
      <c r="T52" s="169">
        <v>552029.84499999997</v>
      </c>
      <c r="U52" s="131">
        <f>T52/T$76</f>
        <v>0.81332772552576171</v>
      </c>
      <c r="V52" s="128">
        <v>1792</v>
      </c>
      <c r="W52" s="129">
        <v>3263614</v>
      </c>
      <c r="X52" s="129">
        <v>643387</v>
      </c>
      <c r="Y52" s="169">
        <v>503104.34499999997</v>
      </c>
      <c r="Z52" s="131">
        <f>Y52/Y$76</f>
        <v>0.81585549784330924</v>
      </c>
    </row>
    <row r="53" spans="1:26" ht="12.75" customHeight="1" x14ac:dyDescent="0.2">
      <c r="A53" s="114" t="str">
        <f>$A$13</f>
        <v>Öffentlich-rechtlicher Arbeitgeber</v>
      </c>
      <c r="B53" s="33"/>
      <c r="C53" s="8"/>
      <c r="D53" s="8"/>
      <c r="E53" s="152"/>
      <c r="F53" s="34"/>
      <c r="G53" s="47"/>
      <c r="H53" s="48"/>
      <c r="I53" s="48"/>
      <c r="J53" s="162"/>
      <c r="K53" s="50"/>
      <c r="L53" s="128"/>
      <c r="M53" s="129"/>
      <c r="N53" s="129"/>
      <c r="O53" s="169"/>
      <c r="P53" s="131"/>
      <c r="Q53" s="128"/>
      <c r="R53" s="129"/>
      <c r="S53" s="129"/>
      <c r="T53" s="169"/>
      <c r="U53" s="131"/>
      <c r="V53" s="128"/>
      <c r="W53" s="129"/>
      <c r="X53" s="129"/>
      <c r="Y53" s="169"/>
      <c r="Z53" s="131"/>
    </row>
    <row r="54" spans="1:26" x14ac:dyDescent="0.2">
      <c r="A54" s="114" t="str">
        <f>$A$14</f>
        <v xml:space="preserve">   Vollkapitalisierung ohne Staatsgarantie</v>
      </c>
      <c r="B54" s="33">
        <v>66</v>
      </c>
      <c r="C54" s="8">
        <v>379086</v>
      </c>
      <c r="D54" s="8">
        <v>170084</v>
      </c>
      <c r="E54" s="152">
        <v>150077.91</v>
      </c>
      <c r="F54" s="34">
        <f>E54/E$76</f>
        <v>0.19508938921931471</v>
      </c>
      <c r="G54" s="47">
        <v>67</v>
      </c>
      <c r="H54" s="48">
        <v>380033</v>
      </c>
      <c r="I54" s="48">
        <v>168832</v>
      </c>
      <c r="J54" s="162">
        <v>145211.70699999999</v>
      </c>
      <c r="K54" s="50">
        <f>J54/J$76</f>
        <v>0.19816339044746051</v>
      </c>
      <c r="L54" s="128">
        <v>66</v>
      </c>
      <c r="M54" s="129">
        <v>378265</v>
      </c>
      <c r="N54" s="129">
        <v>164263</v>
      </c>
      <c r="O54" s="169">
        <v>141693.32800000001</v>
      </c>
      <c r="P54" s="131">
        <f>O54/O$76</f>
        <v>0.20127409375534486</v>
      </c>
      <c r="Q54" s="128">
        <v>63</v>
      </c>
      <c r="R54" s="129">
        <v>342564</v>
      </c>
      <c r="S54" s="129">
        <v>149311</v>
      </c>
      <c r="T54" s="169">
        <v>126700.054</v>
      </c>
      <c r="U54" s="131">
        <f>T54/T$76</f>
        <v>0.18667227447423826</v>
      </c>
      <c r="V54" s="128">
        <v>55</v>
      </c>
      <c r="W54" s="129">
        <v>311018</v>
      </c>
      <c r="X54" s="129">
        <v>140240</v>
      </c>
      <c r="Y54" s="169">
        <v>113554.299</v>
      </c>
      <c r="Z54" s="131">
        <f>Y54/Y$76</f>
        <v>0.18414450215669076</v>
      </c>
    </row>
    <row r="55" spans="1:26" x14ac:dyDescent="0.2">
      <c r="A55" s="114" t="str">
        <f>$A$15</f>
        <v xml:space="preserve">   Vollkapitalisierung mit Staatsgarantie</v>
      </c>
      <c r="B55" s="33">
        <v>0</v>
      </c>
      <c r="C55" s="8">
        <v>0</v>
      </c>
      <c r="D55" s="8">
        <v>0</v>
      </c>
      <c r="E55" s="152">
        <v>0</v>
      </c>
      <c r="F55" s="34">
        <f>E55/E$76</f>
        <v>0</v>
      </c>
      <c r="G55" s="47">
        <v>0</v>
      </c>
      <c r="H55" s="48">
        <v>0</v>
      </c>
      <c r="I55" s="48">
        <v>0</v>
      </c>
      <c r="J55" s="162">
        <v>0</v>
      </c>
      <c r="K55" s="50">
        <f>J55/J$76</f>
        <v>0</v>
      </c>
      <c r="L55" s="128">
        <v>0</v>
      </c>
      <c r="M55" s="129">
        <v>0</v>
      </c>
      <c r="N55" s="129">
        <v>0</v>
      </c>
      <c r="O55" s="169">
        <v>0</v>
      </c>
      <c r="P55" s="131">
        <f>O55/O$76</f>
        <v>0</v>
      </c>
      <c r="Q55" s="128">
        <v>0</v>
      </c>
      <c r="R55" s="129">
        <v>0</v>
      </c>
      <c r="S55" s="129">
        <v>0</v>
      </c>
      <c r="T55" s="169">
        <v>0</v>
      </c>
      <c r="U55" s="131">
        <f>T55/T$76</f>
        <v>0</v>
      </c>
      <c r="V55" s="128">
        <v>0</v>
      </c>
      <c r="W55" s="129">
        <v>0</v>
      </c>
      <c r="X55" s="129">
        <v>0</v>
      </c>
      <c r="Y55" s="169">
        <v>0</v>
      </c>
      <c r="Z55" s="131">
        <f>Y55/Y$76</f>
        <v>0</v>
      </c>
    </row>
    <row r="56" spans="1:26" x14ac:dyDescent="0.2">
      <c r="A56" s="114" t="str">
        <f>$A$16</f>
        <v xml:space="preserve">   Teilkapitalisierung</v>
      </c>
      <c r="B56" s="33">
        <v>0</v>
      </c>
      <c r="C56" s="8">
        <v>0</v>
      </c>
      <c r="D56" s="8">
        <v>0</v>
      </c>
      <c r="E56" s="152">
        <v>0</v>
      </c>
      <c r="F56" s="34">
        <f>E56/E$76</f>
        <v>0</v>
      </c>
      <c r="G56" s="47">
        <v>0</v>
      </c>
      <c r="H56" s="48">
        <v>0</v>
      </c>
      <c r="I56" s="48">
        <v>0</v>
      </c>
      <c r="J56" s="162">
        <v>0</v>
      </c>
      <c r="K56" s="50">
        <f>J56/J$76</f>
        <v>0</v>
      </c>
      <c r="L56" s="128">
        <v>0</v>
      </c>
      <c r="M56" s="129">
        <v>0</v>
      </c>
      <c r="N56" s="129">
        <v>0</v>
      </c>
      <c r="O56" s="169">
        <v>0</v>
      </c>
      <c r="P56" s="131">
        <f>O56/O$76</f>
        <v>0</v>
      </c>
      <c r="Q56" s="128">
        <v>0</v>
      </c>
      <c r="R56" s="129">
        <v>0</v>
      </c>
      <c r="S56" s="129">
        <v>0</v>
      </c>
      <c r="T56" s="169">
        <v>0</v>
      </c>
      <c r="U56" s="131">
        <f>T56/T$76</f>
        <v>0</v>
      </c>
      <c r="V56" s="128">
        <v>0</v>
      </c>
      <c r="W56" s="129">
        <v>0</v>
      </c>
      <c r="X56" s="129">
        <v>0</v>
      </c>
      <c r="Y56" s="169">
        <v>0</v>
      </c>
      <c r="Z56" s="131">
        <f>Y56/Y$76</f>
        <v>0</v>
      </c>
    </row>
    <row r="57" spans="1:26" x14ac:dyDescent="0.2">
      <c r="A57" s="114" t="str">
        <f>$A$17</f>
        <v xml:space="preserve">   Zukünftiges System noch unklar</v>
      </c>
      <c r="B57" s="33">
        <v>0</v>
      </c>
      <c r="C57" s="8">
        <v>0</v>
      </c>
      <c r="D57" s="8">
        <v>0</v>
      </c>
      <c r="E57" s="152">
        <v>0</v>
      </c>
      <c r="F57" s="34">
        <f>E57/E$76</f>
        <v>0</v>
      </c>
      <c r="G57" s="47">
        <v>0</v>
      </c>
      <c r="H57" s="48">
        <v>0</v>
      </c>
      <c r="I57" s="48">
        <v>0</v>
      </c>
      <c r="J57" s="162">
        <v>0</v>
      </c>
      <c r="K57" s="50">
        <f>J57/J$76</f>
        <v>0</v>
      </c>
      <c r="L57" s="128">
        <v>0</v>
      </c>
      <c r="M57" s="129">
        <v>0</v>
      </c>
      <c r="N57" s="129">
        <v>0</v>
      </c>
      <c r="O57" s="169">
        <v>0</v>
      </c>
      <c r="P57" s="131">
        <f>O57/O$76</f>
        <v>0</v>
      </c>
      <c r="Q57" s="128">
        <v>0</v>
      </c>
      <c r="R57" s="129">
        <v>0</v>
      </c>
      <c r="S57" s="129">
        <v>0</v>
      </c>
      <c r="T57" s="169">
        <v>0</v>
      </c>
      <c r="U57" s="131">
        <f>T57/T$76</f>
        <v>0</v>
      </c>
      <c r="V57" s="128">
        <v>0</v>
      </c>
      <c r="W57" s="129">
        <v>0</v>
      </c>
      <c r="X57" s="129">
        <v>0</v>
      </c>
      <c r="Y57" s="169">
        <v>0</v>
      </c>
      <c r="Z57" s="131">
        <f>Y57/Y$76</f>
        <v>0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769277.66600000008</v>
      </c>
      <c r="F76" s="67">
        <f t="shared" ref="F76" si="4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5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6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7">SUM(U$52:U$75)</f>
        <v>1</v>
      </c>
      <c r="V76" s="132">
        <f t="shared" si="7"/>
        <v>1847</v>
      </c>
      <c r="W76" s="133">
        <f t="shared" si="7"/>
        <v>3574632</v>
      </c>
      <c r="X76" s="133">
        <f t="shared" si="7"/>
        <v>783627</v>
      </c>
      <c r="Y76" s="170">
        <f t="shared" si="7"/>
        <v>616658.64399999997</v>
      </c>
      <c r="Z76" s="135">
        <f t="shared" si="7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Privatrechtlicher Arbeitgeber</v>
      </c>
      <c r="B92" s="36">
        <v>0</v>
      </c>
      <c r="C92" s="10">
        <v>0</v>
      </c>
      <c r="D92" s="10">
        <v>0</v>
      </c>
      <c r="E92" s="154">
        <v>0</v>
      </c>
      <c r="F92" s="37">
        <f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>T92/T$116</f>
        <v>0</v>
      </c>
      <c r="V92" s="136">
        <v>0</v>
      </c>
      <c r="W92" s="137">
        <v>0</v>
      </c>
      <c r="X92" s="137">
        <v>0</v>
      </c>
      <c r="Y92" s="171">
        <v>0</v>
      </c>
      <c r="Z92" s="139">
        <f>Y92/Y$116</f>
        <v>0</v>
      </c>
    </row>
    <row r="93" spans="1:26" ht="12.75" customHeight="1" x14ac:dyDescent="0.2">
      <c r="A93" s="114" t="str">
        <f>$A$13</f>
        <v>Öffentlich-rechtlicher Arbeitgeber</v>
      </c>
      <c r="B93" s="36"/>
      <c r="C93" s="10"/>
      <c r="D93" s="10"/>
      <c r="E93" s="154"/>
      <c r="F93" s="37"/>
      <c r="G93" s="53"/>
      <c r="H93" s="54"/>
      <c r="I93" s="54"/>
      <c r="J93" s="164"/>
      <c r="K93" s="56"/>
      <c r="L93" s="136"/>
      <c r="M93" s="137"/>
      <c r="N93" s="137"/>
      <c r="O93" s="171"/>
      <c r="P93" s="139"/>
      <c r="Q93" s="136"/>
      <c r="R93" s="137"/>
      <c r="S93" s="137"/>
      <c r="T93" s="171"/>
      <c r="U93" s="139"/>
      <c r="V93" s="136"/>
      <c r="W93" s="137"/>
      <c r="X93" s="137"/>
      <c r="Y93" s="171"/>
      <c r="Z93" s="139"/>
    </row>
    <row r="94" spans="1:26" x14ac:dyDescent="0.2">
      <c r="A94" s="114" t="str">
        <f>$A$14</f>
        <v xml:space="preserve">   Vollkapitalisierung ohne Staatsgarantie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>O94/O$116</f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>T94/T$116</f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>Y94/Y$116</f>
        <v>0</v>
      </c>
    </row>
    <row r="95" spans="1:26" x14ac:dyDescent="0.2">
      <c r="A95" s="114" t="str">
        <f>$A$15</f>
        <v xml:space="preserve">   Vollkapitalisierung mit Staatsgarantie</v>
      </c>
      <c r="B95" s="36">
        <v>10</v>
      </c>
      <c r="C95" s="10">
        <v>44152</v>
      </c>
      <c r="D95" s="10">
        <v>19263</v>
      </c>
      <c r="E95" s="154">
        <v>18071</v>
      </c>
      <c r="F95" s="37">
        <f>E95/E$116</f>
        <v>0.13484802792911524</v>
      </c>
      <c r="G95" s="53">
        <v>11</v>
      </c>
      <c r="H95" s="54">
        <v>45009</v>
      </c>
      <c r="I95" s="54">
        <v>17859</v>
      </c>
      <c r="J95" s="164">
        <v>17089.266</v>
      </c>
      <c r="K95" s="56">
        <f>J95/J$116</f>
        <v>0.13426789688998858</v>
      </c>
      <c r="L95" s="136">
        <v>12</v>
      </c>
      <c r="M95" s="137">
        <v>66283</v>
      </c>
      <c r="N95" s="137">
        <v>33600</v>
      </c>
      <c r="O95" s="171">
        <v>27334.325000000001</v>
      </c>
      <c r="P95" s="139">
        <f>O95/O$116</f>
        <v>0.22922248538338283</v>
      </c>
      <c r="Q95" s="136">
        <v>15</v>
      </c>
      <c r="R95" s="137">
        <v>95240</v>
      </c>
      <c r="S95" s="137">
        <v>43979</v>
      </c>
      <c r="T95" s="171">
        <v>34563.195</v>
      </c>
      <c r="U95" s="139">
        <f>T95/T$116</f>
        <v>0.27584107870196467</v>
      </c>
      <c r="V95" s="136">
        <v>19</v>
      </c>
      <c r="W95" s="137">
        <v>71213</v>
      </c>
      <c r="X95" s="137">
        <v>35475</v>
      </c>
      <c r="Y95" s="171">
        <v>26991.541000000001</v>
      </c>
      <c r="Z95" s="139">
        <f>Y95/Y$116</f>
        <v>0.20956785127286881</v>
      </c>
    </row>
    <row r="96" spans="1:26" x14ac:dyDescent="0.2">
      <c r="A96" s="114" t="str">
        <f>$A$16</f>
        <v xml:space="preserve">   Teilkapitalisierung</v>
      </c>
      <c r="B96" s="36">
        <v>28</v>
      </c>
      <c r="C96" s="10">
        <v>281571</v>
      </c>
      <c r="D96" s="10">
        <v>136921</v>
      </c>
      <c r="E96" s="154">
        <v>115939.117</v>
      </c>
      <c r="F96" s="37">
        <f>E96/E$116</f>
        <v>0.86515197207088479</v>
      </c>
      <c r="G96" s="53">
        <v>28</v>
      </c>
      <c r="H96" s="54">
        <v>277031</v>
      </c>
      <c r="I96" s="54">
        <v>132239</v>
      </c>
      <c r="J96" s="164">
        <v>110188.113</v>
      </c>
      <c r="K96" s="56">
        <f>J96/J$116</f>
        <v>0.86573210311001136</v>
      </c>
      <c r="L96" s="136">
        <v>26</v>
      </c>
      <c r="M96" s="137">
        <v>242060</v>
      </c>
      <c r="N96" s="137">
        <v>110234</v>
      </c>
      <c r="O96" s="171">
        <v>91913.683999999994</v>
      </c>
      <c r="P96" s="139">
        <f>O96/O$116</f>
        <v>0.77077751461661725</v>
      </c>
      <c r="Q96" s="136">
        <v>26</v>
      </c>
      <c r="R96" s="137">
        <v>244130</v>
      </c>
      <c r="S96" s="137">
        <v>109859</v>
      </c>
      <c r="T96" s="171">
        <v>90668.198999999993</v>
      </c>
      <c r="U96" s="139">
        <f>T96/T$116</f>
        <v>0.72360248571130048</v>
      </c>
      <c r="V96" s="136">
        <v>24</v>
      </c>
      <c r="W96" s="137">
        <v>187241</v>
      </c>
      <c r="X96" s="137">
        <v>87457</v>
      </c>
      <c r="Y96" s="171">
        <v>67638.434999999998</v>
      </c>
      <c r="Z96" s="139">
        <f>Y96/Y$116</f>
        <v>0.52515865938923612</v>
      </c>
    </row>
    <row r="97" spans="1:26" x14ac:dyDescent="0.2">
      <c r="A97" s="114" t="str">
        <f>$A$17</f>
        <v xml:space="preserve">   Zukünftiges System noch unklar</v>
      </c>
      <c r="B97" s="36">
        <v>0</v>
      </c>
      <c r="C97" s="10">
        <v>0</v>
      </c>
      <c r="D97" s="10">
        <v>0</v>
      </c>
      <c r="E97" s="154">
        <v>0</v>
      </c>
      <c r="F97" s="37">
        <f>E97/E$116</f>
        <v>0</v>
      </c>
      <c r="G97" s="53">
        <v>0</v>
      </c>
      <c r="H97" s="54">
        <v>0</v>
      </c>
      <c r="I97" s="54">
        <v>0</v>
      </c>
      <c r="J97" s="164">
        <v>0</v>
      </c>
      <c r="K97" s="56">
        <f>J97/J$116</f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>O97/O$116</f>
        <v>0</v>
      </c>
      <c r="Q97" s="136">
        <v>2</v>
      </c>
      <c r="R97" s="137">
        <v>10</v>
      </c>
      <c r="S97" s="137">
        <v>74</v>
      </c>
      <c r="T97" s="171">
        <v>69.721999999999994</v>
      </c>
      <c r="U97" s="139">
        <f>T97/T$116</f>
        <v>5.5643558673491779E-4</v>
      </c>
      <c r="V97" s="136">
        <v>15</v>
      </c>
      <c r="W97" s="137">
        <v>99662</v>
      </c>
      <c r="X97" s="137">
        <v>36773</v>
      </c>
      <c r="Y97" s="171">
        <v>34166.214999999997</v>
      </c>
      <c r="Z97" s="139">
        <f>Y97/Y$116</f>
        <v>0.26527348933789507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8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9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10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11">SUM(U$92:U$115)</f>
        <v>1</v>
      </c>
      <c r="V116" s="140">
        <f t="shared" si="11"/>
        <v>58</v>
      </c>
      <c r="W116" s="141">
        <f t="shared" si="11"/>
        <v>358116</v>
      </c>
      <c r="X116" s="141">
        <f t="shared" si="11"/>
        <v>159705</v>
      </c>
      <c r="Y116" s="172">
        <f t="shared" si="11"/>
        <v>128796.19099999999</v>
      </c>
      <c r="Z116" s="143">
        <f t="shared" si="11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9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Translation!$A$406</f>
        <v>Versicherungsdeckung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8" t="str">
        <f>Translation!$A407</f>
        <v>Autonom ohne Rückversicherung</v>
      </c>
      <c r="B12" s="30">
        <v>353</v>
      </c>
      <c r="C12" s="6">
        <v>1479124</v>
      </c>
      <c r="D12" s="6">
        <v>674040</v>
      </c>
      <c r="E12" s="150">
        <v>548893.14599999995</v>
      </c>
      <c r="F12" s="31">
        <f t="shared" ref="F12:F18" si="0">E12/E$36</f>
        <v>0.6076614300893296</v>
      </c>
      <c r="G12" s="41">
        <v>370</v>
      </c>
      <c r="H12" s="42">
        <v>1498123</v>
      </c>
      <c r="I12" s="42">
        <v>671134</v>
      </c>
      <c r="J12" s="160">
        <v>535401.90800000005</v>
      </c>
      <c r="K12" s="44">
        <f t="shared" ref="K12:K18" si="1">J12/J$36</f>
        <v>0.62251320710721192</v>
      </c>
      <c r="L12" s="76">
        <v>378</v>
      </c>
      <c r="M12" s="122">
        <v>1496400</v>
      </c>
      <c r="N12" s="122">
        <v>660532</v>
      </c>
      <c r="O12" s="167">
        <v>512960.00699999998</v>
      </c>
      <c r="P12" s="124">
        <f t="shared" ref="P12:P18" si="2">O12/O$36</f>
        <v>0.6231065870569622</v>
      </c>
      <c r="Q12" s="76">
        <v>395</v>
      </c>
      <c r="R12" s="122">
        <v>1493732</v>
      </c>
      <c r="S12" s="122">
        <v>656154</v>
      </c>
      <c r="T12" s="167">
        <v>496374.99</v>
      </c>
      <c r="U12" s="124">
        <f t="shared" ref="U12:U18" si="3">T12/T$36</f>
        <v>0.61735801323534767</v>
      </c>
      <c r="V12" s="76">
        <v>418</v>
      </c>
      <c r="W12" s="122">
        <v>1455578</v>
      </c>
      <c r="X12" s="122">
        <v>643091</v>
      </c>
      <c r="Y12" s="167">
        <v>476523.80699999997</v>
      </c>
      <c r="Z12" s="124">
        <f t="shared" ref="Z12:Z18" si="4">Y12/Y$36</f>
        <v>0.63923900500289865</v>
      </c>
    </row>
    <row r="13" spans="1:26" x14ac:dyDescent="0.2">
      <c r="A13" s="118" t="str">
        <f>Translation!$A408</f>
        <v>Autonom mit Stop-Loss-Versicherung</v>
      </c>
      <c r="B13" s="30">
        <v>216</v>
      </c>
      <c r="C13" s="6">
        <v>227536</v>
      </c>
      <c r="D13" s="6">
        <v>56202</v>
      </c>
      <c r="E13" s="150">
        <v>53026.345000000001</v>
      </c>
      <c r="F13" s="31">
        <f t="shared" si="0"/>
        <v>5.8703711040892052E-2</v>
      </c>
      <c r="G13" s="41">
        <v>227</v>
      </c>
      <c r="H13" s="42">
        <v>213344</v>
      </c>
      <c r="I13" s="42">
        <v>53241</v>
      </c>
      <c r="J13" s="160">
        <v>50157.076999999997</v>
      </c>
      <c r="K13" s="44">
        <f t="shared" si="1"/>
        <v>5.8317765394279041E-2</v>
      </c>
      <c r="L13" s="76">
        <v>244</v>
      </c>
      <c r="M13" s="122">
        <v>223212</v>
      </c>
      <c r="N13" s="122">
        <v>53122</v>
      </c>
      <c r="O13" s="167">
        <v>48638.442999999999</v>
      </c>
      <c r="P13" s="124">
        <f t="shared" si="2"/>
        <v>5.9082450491105429E-2</v>
      </c>
      <c r="Q13" s="76">
        <v>263</v>
      </c>
      <c r="R13" s="122">
        <v>336474</v>
      </c>
      <c r="S13" s="122">
        <v>68475</v>
      </c>
      <c r="T13" s="167">
        <v>56722.506999999998</v>
      </c>
      <c r="U13" s="124">
        <f t="shared" si="3"/>
        <v>7.054766040337386E-2</v>
      </c>
      <c r="V13" s="76">
        <v>286</v>
      </c>
      <c r="W13" s="122">
        <v>353361</v>
      </c>
      <c r="X13" s="122">
        <v>68469</v>
      </c>
      <c r="Y13" s="167">
        <v>56879.108999999997</v>
      </c>
      <c r="Z13" s="124">
        <f t="shared" si="4"/>
        <v>7.6301214143979626E-2</v>
      </c>
    </row>
    <row r="14" spans="1:26" x14ac:dyDescent="0.2">
      <c r="A14" s="118" t="str">
        <f>Translation!$A409</f>
        <v>Autonom mit Excess-of-Loss-Versicherung</v>
      </c>
      <c r="B14" s="30">
        <v>45</v>
      </c>
      <c r="C14" s="6">
        <v>526254</v>
      </c>
      <c r="D14" s="6">
        <v>69661</v>
      </c>
      <c r="E14" s="150">
        <v>64448.277999999998</v>
      </c>
      <c r="F14" s="31">
        <f t="shared" si="0"/>
        <v>7.1348554926708233E-2</v>
      </c>
      <c r="G14" s="41">
        <v>44</v>
      </c>
      <c r="H14" s="42">
        <v>483616</v>
      </c>
      <c r="I14" s="42">
        <v>64305</v>
      </c>
      <c r="J14" s="160">
        <v>57597.957000000002</v>
      </c>
      <c r="K14" s="44">
        <f t="shared" si="1"/>
        <v>6.6969296147695617E-2</v>
      </c>
      <c r="L14" s="76">
        <v>50</v>
      </c>
      <c r="M14" s="122">
        <v>467197</v>
      </c>
      <c r="N14" s="122">
        <v>59029</v>
      </c>
      <c r="O14" s="167">
        <v>53084.796000000002</v>
      </c>
      <c r="P14" s="124">
        <f t="shared" si="2"/>
        <v>6.4483557409525452E-2</v>
      </c>
      <c r="Q14" s="76">
        <v>51</v>
      </c>
      <c r="R14" s="122">
        <v>422591</v>
      </c>
      <c r="S14" s="122">
        <v>54163</v>
      </c>
      <c r="T14" s="167">
        <v>47407.3</v>
      </c>
      <c r="U14" s="124">
        <f t="shared" si="3"/>
        <v>5.8962028970984411E-2</v>
      </c>
      <c r="V14" s="76">
        <v>56</v>
      </c>
      <c r="W14" s="122">
        <v>407934</v>
      </c>
      <c r="X14" s="122">
        <v>50359</v>
      </c>
      <c r="Y14" s="167">
        <v>44491.216999999997</v>
      </c>
      <c r="Z14" s="124">
        <f t="shared" si="4"/>
        <v>5.9683316696175159E-2</v>
      </c>
    </row>
    <row r="15" spans="1:26" ht="25.5" x14ac:dyDescent="0.2">
      <c r="A15" s="118" t="str">
        <f>Translation!$A410</f>
        <v>Teilautonom: Altersrenten durch VE sichergestellt</v>
      </c>
      <c r="B15" s="30">
        <v>739</v>
      </c>
      <c r="C15" s="6">
        <v>801458</v>
      </c>
      <c r="D15" s="6">
        <v>115122</v>
      </c>
      <c r="E15" s="150">
        <v>126654.261</v>
      </c>
      <c r="F15" s="31">
        <f t="shared" si="0"/>
        <v>0.14021473929311409</v>
      </c>
      <c r="G15" s="41">
        <v>720</v>
      </c>
      <c r="H15" s="42">
        <v>615698</v>
      </c>
      <c r="I15" s="42">
        <v>97119</v>
      </c>
      <c r="J15" s="160">
        <v>99194.328999999998</v>
      </c>
      <c r="K15" s="44">
        <f t="shared" si="1"/>
        <v>0.11533350731472909</v>
      </c>
      <c r="L15" s="76">
        <v>725</v>
      </c>
      <c r="M15" s="122">
        <v>573514</v>
      </c>
      <c r="N15" s="122">
        <v>91364</v>
      </c>
      <c r="O15" s="167">
        <v>90327.225000000006</v>
      </c>
      <c r="P15" s="124">
        <f t="shared" si="2"/>
        <v>0.10972295718967486</v>
      </c>
      <c r="Q15" s="76">
        <v>752</v>
      </c>
      <c r="R15" s="122">
        <v>504264</v>
      </c>
      <c r="S15" s="122">
        <v>81997</v>
      </c>
      <c r="T15" s="167">
        <v>80058.426000000007</v>
      </c>
      <c r="U15" s="124">
        <f t="shared" si="3"/>
        <v>9.9571315666224652E-2</v>
      </c>
      <c r="V15" s="76">
        <v>754</v>
      </c>
      <c r="W15" s="122">
        <v>426207</v>
      </c>
      <c r="X15" s="122">
        <v>74539</v>
      </c>
      <c r="Y15" s="167">
        <v>100454.376</v>
      </c>
      <c r="Z15" s="124">
        <f t="shared" si="4"/>
        <v>0.13475581790277075</v>
      </c>
    </row>
    <row r="16" spans="1:26" ht="25.5" x14ac:dyDescent="0.2">
      <c r="A16" s="118" t="str">
        <f>Translation!$A411</f>
        <v>Teilautonom: Kauf individueller Altersrenten bei einer Versicherung</v>
      </c>
      <c r="B16" s="30">
        <v>132</v>
      </c>
      <c r="C16" s="6">
        <v>64897</v>
      </c>
      <c r="D16" s="6">
        <v>1429</v>
      </c>
      <c r="E16" s="150">
        <v>10376.592000000001</v>
      </c>
      <c r="F16" s="31">
        <f t="shared" si="0"/>
        <v>1.1487581472138655E-2</v>
      </c>
      <c r="G16" s="41">
        <v>144</v>
      </c>
      <c r="H16" s="42">
        <v>183846</v>
      </c>
      <c r="I16" s="42">
        <v>1731</v>
      </c>
      <c r="J16" s="160">
        <v>19691.564999999999</v>
      </c>
      <c r="K16" s="44">
        <f t="shared" si="1"/>
        <v>2.289543443522828E-2</v>
      </c>
      <c r="L16" s="76">
        <v>155</v>
      </c>
      <c r="M16" s="122">
        <v>189434</v>
      </c>
      <c r="N16" s="122">
        <v>2146</v>
      </c>
      <c r="O16" s="167">
        <v>19362.060000000001</v>
      </c>
      <c r="P16" s="124">
        <f t="shared" si="2"/>
        <v>2.3519625234627944E-2</v>
      </c>
      <c r="Q16" s="76">
        <v>175</v>
      </c>
      <c r="R16" s="122">
        <v>230609</v>
      </c>
      <c r="S16" s="122">
        <v>2767</v>
      </c>
      <c r="T16" s="167">
        <v>21033.972000000002</v>
      </c>
      <c r="U16" s="124">
        <f t="shared" si="3"/>
        <v>2.6160647546662117E-2</v>
      </c>
      <c r="V16" s="76">
        <v>170</v>
      </c>
      <c r="W16" s="122">
        <v>245515</v>
      </c>
      <c r="X16" s="122">
        <v>16523</v>
      </c>
      <c r="Y16" s="167">
        <v>21890.572</v>
      </c>
      <c r="Z16" s="124">
        <f t="shared" si="4"/>
        <v>2.9365390057467401E-2</v>
      </c>
    </row>
    <row r="17" spans="1:26" ht="12.75" customHeight="1" x14ac:dyDescent="0.2">
      <c r="A17" s="119" t="str">
        <f>Translation!$A412</f>
        <v>Vollversicherung (Kollektiv)</v>
      </c>
      <c r="B17" s="30">
        <v>121</v>
      </c>
      <c r="C17" s="6">
        <v>1074744</v>
      </c>
      <c r="D17" s="6">
        <v>896</v>
      </c>
      <c r="E17" s="150">
        <v>99681.796000000002</v>
      </c>
      <c r="F17" s="31">
        <f t="shared" si="0"/>
        <v>0.1103544162514152</v>
      </c>
      <c r="G17" s="41">
        <v>126</v>
      </c>
      <c r="H17" s="42">
        <v>1053694</v>
      </c>
      <c r="I17" s="42">
        <v>1156</v>
      </c>
      <c r="J17" s="160">
        <v>97827.23</v>
      </c>
      <c r="K17" s="44">
        <f t="shared" si="1"/>
        <v>0.11374397771050686</v>
      </c>
      <c r="L17" s="76">
        <v>136</v>
      </c>
      <c r="M17" s="122">
        <v>1086675</v>
      </c>
      <c r="N17" s="122">
        <v>12270</v>
      </c>
      <c r="O17" s="167">
        <v>98666.89</v>
      </c>
      <c r="P17" s="124">
        <f t="shared" si="2"/>
        <v>0.11985337695814698</v>
      </c>
      <c r="Q17" s="76">
        <v>149</v>
      </c>
      <c r="R17" s="122">
        <v>1014705</v>
      </c>
      <c r="S17" s="122">
        <v>5133</v>
      </c>
      <c r="T17" s="167">
        <v>102274.91499999999</v>
      </c>
      <c r="U17" s="124">
        <f t="shared" si="3"/>
        <v>0.12720269876653947</v>
      </c>
      <c r="V17" s="76">
        <v>165</v>
      </c>
      <c r="W17" s="122">
        <v>1041650</v>
      </c>
      <c r="X17" s="122">
        <v>90221</v>
      </c>
      <c r="Y17" s="167">
        <v>44874.271999999997</v>
      </c>
      <c r="Z17" s="124">
        <f t="shared" si="4"/>
        <v>6.0197170764879404E-2</v>
      </c>
    </row>
    <row r="18" spans="1:26" ht="12.75" customHeight="1" x14ac:dyDescent="0.2">
      <c r="A18" s="119" t="str">
        <f>Translation!$A413</f>
        <v>Spareinrichtung</v>
      </c>
      <c r="B18" s="30">
        <v>48</v>
      </c>
      <c r="C18" s="6">
        <v>1899</v>
      </c>
      <c r="D18" s="6">
        <v>141</v>
      </c>
      <c r="E18" s="150">
        <v>207.36500000000001</v>
      </c>
      <c r="F18" s="31">
        <f t="shared" si="0"/>
        <v>2.2956692640223612E-4</v>
      </c>
      <c r="G18" s="41">
        <v>51</v>
      </c>
      <c r="H18" s="42">
        <v>1773</v>
      </c>
      <c r="I18" s="42">
        <v>139</v>
      </c>
      <c r="J18" s="160">
        <v>195.07300000000001</v>
      </c>
      <c r="K18" s="44">
        <f t="shared" si="1"/>
        <v>2.2681189034915643E-4</v>
      </c>
      <c r="L18" s="76">
        <v>55</v>
      </c>
      <c r="M18" s="122">
        <v>1723</v>
      </c>
      <c r="N18" s="122">
        <v>138</v>
      </c>
      <c r="O18" s="167">
        <v>190.53299999999999</v>
      </c>
      <c r="P18" s="124">
        <f t="shared" si="2"/>
        <v>2.3144565995712055E-4</v>
      </c>
      <c r="Q18" s="76">
        <v>60</v>
      </c>
      <c r="R18" s="122">
        <v>1662</v>
      </c>
      <c r="S18" s="122">
        <v>129</v>
      </c>
      <c r="T18" s="167">
        <v>158.905</v>
      </c>
      <c r="U18" s="124">
        <f t="shared" si="3"/>
        <v>1.9763541086782578E-4</v>
      </c>
      <c r="V18" s="76">
        <v>56</v>
      </c>
      <c r="W18" s="122">
        <v>2503</v>
      </c>
      <c r="X18" s="122">
        <v>130</v>
      </c>
      <c r="Y18" s="167">
        <v>341.48200000000003</v>
      </c>
      <c r="Z18" s="124">
        <f t="shared" si="4"/>
        <v>4.5808543182901222E-4</v>
      </c>
    </row>
    <row r="19" spans="1:2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1.0000000000000002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8" t="str">
        <f>$A$12</f>
        <v>Autonom ohne Rückversicherung</v>
      </c>
      <c r="B52" s="33">
        <v>328</v>
      </c>
      <c r="C52" s="8">
        <v>1168939</v>
      </c>
      <c r="D52" s="8">
        <v>523535</v>
      </c>
      <c r="E52" s="152">
        <v>420110.29800000001</v>
      </c>
      <c r="F52" s="34">
        <f t="shared" ref="F52:F58" si="10">E52/E$76</f>
        <v>0.54611009336127014</v>
      </c>
      <c r="G52" s="47">
        <v>344</v>
      </c>
      <c r="H52" s="48">
        <v>1191321</v>
      </c>
      <c r="I52" s="48">
        <v>526544</v>
      </c>
      <c r="J52" s="162">
        <v>413060.462</v>
      </c>
      <c r="K52" s="50">
        <f t="shared" ref="K52:K58" si="11">J52/J$76</f>
        <v>0.56368362648415427</v>
      </c>
      <c r="L52" s="128">
        <v>353</v>
      </c>
      <c r="M52" s="129">
        <v>1202876</v>
      </c>
      <c r="N52" s="129">
        <v>522012</v>
      </c>
      <c r="O52" s="169">
        <v>398486.63099999999</v>
      </c>
      <c r="P52" s="131">
        <f t="shared" ref="P52:P58" si="12">O52/O$76</f>
        <v>0.56604666331321885</v>
      </c>
      <c r="Q52" s="128">
        <v>365</v>
      </c>
      <c r="R52" s="129">
        <v>1195728</v>
      </c>
      <c r="S52" s="129">
        <v>517595</v>
      </c>
      <c r="T52" s="169">
        <v>383099.44799999997</v>
      </c>
      <c r="U52" s="131">
        <f t="shared" ref="U52:U58" si="13">T52/T$76</f>
        <v>0.56443579185834569</v>
      </c>
      <c r="V52" s="128">
        <v>378</v>
      </c>
      <c r="W52" s="129">
        <v>1139431</v>
      </c>
      <c r="X52" s="129">
        <v>497533</v>
      </c>
      <c r="Y52" s="169">
        <v>359587.19500000001</v>
      </c>
      <c r="Z52" s="131">
        <f t="shared" ref="Z52:Z58" si="14">Y52/Y$76</f>
        <v>0.58312195652932408</v>
      </c>
    </row>
    <row r="53" spans="1:26" x14ac:dyDescent="0.2">
      <c r="A53" s="118" t="str">
        <f>$A$13</f>
        <v>Autonom mit Stop-Loss-Versicherung</v>
      </c>
      <c r="B53" s="33">
        <v>208</v>
      </c>
      <c r="C53" s="8">
        <v>223523</v>
      </c>
      <c r="D53" s="8">
        <v>54064</v>
      </c>
      <c r="E53" s="152">
        <v>51717.608</v>
      </c>
      <c r="F53" s="34">
        <f t="shared" si="10"/>
        <v>6.7228791742928368E-2</v>
      </c>
      <c r="G53" s="47">
        <v>219</v>
      </c>
      <c r="H53" s="48">
        <v>209427</v>
      </c>
      <c r="I53" s="48">
        <v>51160</v>
      </c>
      <c r="J53" s="162">
        <v>48891.864999999998</v>
      </c>
      <c r="K53" s="50">
        <f t="shared" si="11"/>
        <v>6.6720362523522508E-2</v>
      </c>
      <c r="L53" s="128">
        <v>236</v>
      </c>
      <c r="M53" s="129">
        <v>219419</v>
      </c>
      <c r="N53" s="129">
        <v>51106</v>
      </c>
      <c r="O53" s="169">
        <v>47402.535000000003</v>
      </c>
      <c r="P53" s="131">
        <f t="shared" si="12"/>
        <v>6.7334873197635772E-2</v>
      </c>
      <c r="Q53" s="128">
        <v>255</v>
      </c>
      <c r="R53" s="129">
        <v>332772</v>
      </c>
      <c r="S53" s="129">
        <v>66615</v>
      </c>
      <c r="T53" s="169">
        <v>55592.92</v>
      </c>
      <c r="U53" s="131">
        <f t="shared" si="13"/>
        <v>8.1907280174200778E-2</v>
      </c>
      <c r="V53" s="128">
        <v>276</v>
      </c>
      <c r="W53" s="129">
        <v>349218</v>
      </c>
      <c r="X53" s="129">
        <v>66342</v>
      </c>
      <c r="Y53" s="169">
        <v>55646.595000000001</v>
      </c>
      <c r="Z53" s="131">
        <f t="shared" si="14"/>
        <v>9.0238895605264546E-2</v>
      </c>
    </row>
    <row r="54" spans="1:26" x14ac:dyDescent="0.2">
      <c r="A54" s="118" t="str">
        <f>$A$14</f>
        <v>Autonom mit Excess-of-Loss-Versicherung</v>
      </c>
      <c r="B54" s="33">
        <v>43</v>
      </c>
      <c r="C54" s="8">
        <v>515893</v>
      </c>
      <c r="D54" s="8">
        <v>66584</v>
      </c>
      <c r="E54" s="152">
        <v>60783.586000000003</v>
      </c>
      <c r="F54" s="34">
        <f t="shared" si="10"/>
        <v>7.9013844657749369E-2</v>
      </c>
      <c r="G54" s="47">
        <v>42</v>
      </c>
      <c r="H54" s="48">
        <v>473449</v>
      </c>
      <c r="I54" s="48">
        <v>61349</v>
      </c>
      <c r="J54" s="162">
        <v>54187.387000000002</v>
      </c>
      <c r="K54" s="50">
        <f t="shared" si="11"/>
        <v>7.3946905172106059E-2</v>
      </c>
      <c r="L54" s="128">
        <v>48</v>
      </c>
      <c r="M54" s="129">
        <v>457232</v>
      </c>
      <c r="N54" s="129">
        <v>56194</v>
      </c>
      <c r="O54" s="169">
        <v>49795.862999999998</v>
      </c>
      <c r="P54" s="131">
        <f t="shared" si="12"/>
        <v>7.0734574023769869E-2</v>
      </c>
      <c r="Q54" s="128">
        <v>49</v>
      </c>
      <c r="R54" s="129">
        <v>385989</v>
      </c>
      <c r="S54" s="129">
        <v>41112</v>
      </c>
      <c r="T54" s="169">
        <v>36754.900999999998</v>
      </c>
      <c r="U54" s="131">
        <f t="shared" si="13"/>
        <v>5.415247074595133E-2</v>
      </c>
      <c r="V54" s="128">
        <v>54</v>
      </c>
      <c r="W54" s="129">
        <v>371874</v>
      </c>
      <c r="X54" s="129">
        <v>39023</v>
      </c>
      <c r="Y54" s="169">
        <v>34265.519999999997</v>
      </c>
      <c r="Z54" s="131">
        <f t="shared" si="14"/>
        <v>5.5566431012357614E-2</v>
      </c>
    </row>
    <row r="55" spans="1:26" ht="25.5" x14ac:dyDescent="0.2">
      <c r="A55" s="118" t="str">
        <f>$A$15</f>
        <v>Teilautonom: Altersrenten durch VE sichergestellt</v>
      </c>
      <c r="B55" s="33">
        <v>737</v>
      </c>
      <c r="C55" s="8">
        <v>800754</v>
      </c>
      <c r="D55" s="8">
        <v>114777</v>
      </c>
      <c r="E55" s="152">
        <v>126430.111</v>
      </c>
      <c r="F55" s="34">
        <f t="shared" si="10"/>
        <v>0.164349124624138</v>
      </c>
      <c r="G55" s="47">
        <v>718</v>
      </c>
      <c r="H55" s="48">
        <v>614998</v>
      </c>
      <c r="I55" s="48">
        <v>96767</v>
      </c>
      <c r="J55" s="162">
        <v>98964.051000000007</v>
      </c>
      <c r="K55" s="50">
        <f t="shared" si="11"/>
        <v>0.13505145200569402</v>
      </c>
      <c r="L55" s="128">
        <v>723</v>
      </c>
      <c r="M55" s="129">
        <v>572845</v>
      </c>
      <c r="N55" s="129">
        <v>91019</v>
      </c>
      <c r="O55" s="169">
        <v>90106.04</v>
      </c>
      <c r="P55" s="131">
        <f t="shared" si="12"/>
        <v>0.12799481668524892</v>
      </c>
      <c r="Q55" s="128">
        <v>750</v>
      </c>
      <c r="R55" s="129">
        <v>503582</v>
      </c>
      <c r="S55" s="129">
        <v>81663</v>
      </c>
      <c r="T55" s="169">
        <v>79841.84</v>
      </c>
      <c r="U55" s="131">
        <f t="shared" si="13"/>
        <v>0.11763418720412079</v>
      </c>
      <c r="V55" s="128">
        <v>749</v>
      </c>
      <c r="W55" s="129">
        <v>424837</v>
      </c>
      <c r="X55" s="129">
        <v>73957</v>
      </c>
      <c r="Y55" s="169">
        <v>100078.70299999999</v>
      </c>
      <c r="Z55" s="131">
        <f t="shared" si="14"/>
        <v>0.16229190002240523</v>
      </c>
    </row>
    <row r="56" spans="1:26" ht="25.5" x14ac:dyDescent="0.2">
      <c r="A56" s="118" t="str">
        <f>$A$16</f>
        <v>Teilautonom: Kauf individueller Altersrenten bei einer Versicherung</v>
      </c>
      <c r="B56" s="33">
        <v>132</v>
      </c>
      <c r="C56" s="8">
        <v>64897</v>
      </c>
      <c r="D56" s="8">
        <v>1429</v>
      </c>
      <c r="E56" s="152">
        <v>10376.592000000001</v>
      </c>
      <c r="F56" s="34">
        <f t="shared" si="10"/>
        <v>1.3488747247733045E-2</v>
      </c>
      <c r="G56" s="47">
        <v>144</v>
      </c>
      <c r="H56" s="48">
        <v>183846</v>
      </c>
      <c r="I56" s="48">
        <v>1731</v>
      </c>
      <c r="J56" s="162">
        <v>19691.564999999999</v>
      </c>
      <c r="K56" s="50">
        <f t="shared" si="11"/>
        <v>2.6872125975466624E-2</v>
      </c>
      <c r="L56" s="128">
        <v>155</v>
      </c>
      <c r="M56" s="129">
        <v>189434</v>
      </c>
      <c r="N56" s="129">
        <v>2146</v>
      </c>
      <c r="O56" s="169">
        <v>19362.060000000001</v>
      </c>
      <c r="P56" s="131">
        <f t="shared" si="12"/>
        <v>2.7503631502935773E-2</v>
      </c>
      <c r="Q56" s="128">
        <v>175</v>
      </c>
      <c r="R56" s="129">
        <v>230609</v>
      </c>
      <c r="S56" s="129">
        <v>2767</v>
      </c>
      <c r="T56" s="169">
        <v>21033.972000000002</v>
      </c>
      <c r="U56" s="131">
        <f t="shared" si="13"/>
        <v>3.0990195114419149E-2</v>
      </c>
      <c r="V56" s="128">
        <v>170</v>
      </c>
      <c r="W56" s="129">
        <v>245515</v>
      </c>
      <c r="X56" s="129">
        <v>16523</v>
      </c>
      <c r="Y56" s="169">
        <v>21890.572</v>
      </c>
      <c r="Z56" s="131">
        <f t="shared" si="14"/>
        <v>3.5498686693184497E-2</v>
      </c>
    </row>
    <row r="57" spans="1:26" ht="12.75" customHeight="1" x14ac:dyDescent="0.2">
      <c r="A57" s="118" t="str">
        <f>$A$17</f>
        <v>Vollversicherung (Kollektiv)</v>
      </c>
      <c r="B57" s="33">
        <v>121</v>
      </c>
      <c r="C57" s="8">
        <v>1074744</v>
      </c>
      <c r="D57" s="8">
        <v>896</v>
      </c>
      <c r="E57" s="152">
        <v>99681.796000000002</v>
      </c>
      <c r="F57" s="34">
        <f t="shared" si="10"/>
        <v>0.12957843494705071</v>
      </c>
      <c r="G57" s="47">
        <v>126</v>
      </c>
      <c r="H57" s="48">
        <v>1053694</v>
      </c>
      <c r="I57" s="48">
        <v>1156</v>
      </c>
      <c r="J57" s="162">
        <v>97827.23</v>
      </c>
      <c r="K57" s="50">
        <f t="shared" si="11"/>
        <v>0.13350008739228944</v>
      </c>
      <c r="L57" s="128">
        <v>136</v>
      </c>
      <c r="M57" s="129">
        <v>1086675</v>
      </c>
      <c r="N57" s="129">
        <v>12270</v>
      </c>
      <c r="O57" s="169">
        <v>98666.89</v>
      </c>
      <c r="P57" s="131">
        <f t="shared" si="12"/>
        <v>0.14015542685544299</v>
      </c>
      <c r="Q57" s="128">
        <v>149</v>
      </c>
      <c r="R57" s="129">
        <v>1014705</v>
      </c>
      <c r="S57" s="129">
        <v>5133</v>
      </c>
      <c r="T57" s="169">
        <v>102274.91499999999</v>
      </c>
      <c r="U57" s="131">
        <f t="shared" si="13"/>
        <v>0.15068573691933379</v>
      </c>
      <c r="V57" s="128">
        <v>165</v>
      </c>
      <c r="W57" s="129">
        <v>1041650</v>
      </c>
      <c r="X57" s="129">
        <v>90221</v>
      </c>
      <c r="Y57" s="169">
        <v>44874.271999999997</v>
      </c>
      <c r="Z57" s="131">
        <f t="shared" si="14"/>
        <v>7.2770036448236333E-2</v>
      </c>
    </row>
    <row r="58" spans="1:26" ht="12.75" customHeight="1" x14ac:dyDescent="0.2">
      <c r="A58" s="118" t="str">
        <f>$A$18</f>
        <v>Spareinrichtung</v>
      </c>
      <c r="B58" s="33">
        <v>47</v>
      </c>
      <c r="C58" s="8">
        <v>1439</v>
      </c>
      <c r="D58" s="8">
        <v>22</v>
      </c>
      <c r="E58" s="152">
        <v>177.67500000000001</v>
      </c>
      <c r="F58" s="34">
        <f t="shared" si="10"/>
        <v>2.30963419130382E-4</v>
      </c>
      <c r="G58" s="47">
        <v>50</v>
      </c>
      <c r="H58" s="48">
        <v>1319</v>
      </c>
      <c r="I58" s="48">
        <v>20</v>
      </c>
      <c r="J58" s="162">
        <v>165.2</v>
      </c>
      <c r="K58" s="50">
        <f t="shared" si="11"/>
        <v>2.2544044676728773E-4</v>
      </c>
      <c r="L58" s="128">
        <v>54</v>
      </c>
      <c r="M58" s="129">
        <v>1331</v>
      </c>
      <c r="N58" s="129">
        <v>20</v>
      </c>
      <c r="O58" s="169">
        <v>161.92599999999999</v>
      </c>
      <c r="P58" s="131">
        <f t="shared" si="12"/>
        <v>2.3001442174770543E-4</v>
      </c>
      <c r="Q58" s="128">
        <v>59</v>
      </c>
      <c r="R58" s="129">
        <v>1272</v>
      </c>
      <c r="S58" s="129">
        <v>21</v>
      </c>
      <c r="T58" s="169">
        <v>131.90299999999999</v>
      </c>
      <c r="U58" s="131">
        <f t="shared" si="13"/>
        <v>1.9433798362844776E-4</v>
      </c>
      <c r="V58" s="128">
        <v>55</v>
      </c>
      <c r="W58" s="129">
        <v>2107</v>
      </c>
      <c r="X58" s="129">
        <v>28</v>
      </c>
      <c r="Y58" s="169">
        <v>315.78699999999998</v>
      </c>
      <c r="Z58" s="131">
        <f t="shared" si="14"/>
        <v>5.1209368922752003E-4</v>
      </c>
    </row>
    <row r="59" spans="1:2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16">SUM(K$52:K$75)</f>
        <v>1.0000000000000002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0.99999999999999978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8" t="str">
        <f>$A$12</f>
        <v>Autonom ohne Rückversicherung</v>
      </c>
      <c r="B92" s="36">
        <v>25</v>
      </c>
      <c r="C92" s="10">
        <v>310185</v>
      </c>
      <c r="D92" s="10">
        <v>150505</v>
      </c>
      <c r="E92" s="154">
        <v>128782.848</v>
      </c>
      <c r="F92" s="37">
        <f t="shared" ref="F92:F98" si="19">E92/E$116</f>
        <v>0.96099347484339559</v>
      </c>
      <c r="G92" s="53">
        <v>26</v>
      </c>
      <c r="H92" s="54">
        <v>306802</v>
      </c>
      <c r="I92" s="54">
        <v>144590</v>
      </c>
      <c r="J92" s="164">
        <v>122341.446</v>
      </c>
      <c r="K92" s="56">
        <f t="shared" ref="K92:K98" si="20">J92/J$116</f>
        <v>0.96121908670039458</v>
      </c>
      <c r="L92" s="136">
        <v>25</v>
      </c>
      <c r="M92" s="137">
        <v>293524</v>
      </c>
      <c r="N92" s="137">
        <v>138520</v>
      </c>
      <c r="O92" s="171">
        <v>114473.376</v>
      </c>
      <c r="P92" s="139">
        <f t="shared" ref="P92:P98" si="21">O92/O$116</f>
        <v>0.95996048034646853</v>
      </c>
      <c r="Q92" s="136">
        <v>30</v>
      </c>
      <c r="R92" s="137">
        <v>298004</v>
      </c>
      <c r="S92" s="137">
        <v>138559</v>
      </c>
      <c r="T92" s="171">
        <v>113275.542</v>
      </c>
      <c r="U92" s="139">
        <f t="shared" ref="U92:U98" si="22">T92/T$116</f>
        <v>0.90402660100808685</v>
      </c>
      <c r="V92" s="136">
        <v>40</v>
      </c>
      <c r="W92" s="137">
        <v>316147</v>
      </c>
      <c r="X92" s="137">
        <v>145558</v>
      </c>
      <c r="Y92" s="171">
        <v>116936.61199999999</v>
      </c>
      <c r="Z92" s="139">
        <f t="shared" ref="Z92:Z98" si="23">Y92/Y$116</f>
        <v>0.90791980020589269</v>
      </c>
    </row>
    <row r="93" spans="1:26" x14ac:dyDescent="0.2">
      <c r="A93" s="118" t="str">
        <f>$A$13</f>
        <v>Autonom mit Stop-Loss-Versicherung</v>
      </c>
      <c r="B93" s="36">
        <v>8</v>
      </c>
      <c r="C93" s="10">
        <v>4013</v>
      </c>
      <c r="D93" s="10">
        <v>2138</v>
      </c>
      <c r="E93" s="154">
        <v>1308.7370000000001</v>
      </c>
      <c r="F93" s="37">
        <f t="shared" si="19"/>
        <v>9.7659567001198884E-3</v>
      </c>
      <c r="G93" s="53">
        <v>8</v>
      </c>
      <c r="H93" s="54">
        <v>3917</v>
      </c>
      <c r="I93" s="54">
        <v>2081</v>
      </c>
      <c r="J93" s="164">
        <v>1265.212</v>
      </c>
      <c r="K93" s="56">
        <f t="shared" si="20"/>
        <v>9.94058810717653E-3</v>
      </c>
      <c r="L93" s="136">
        <v>8</v>
      </c>
      <c r="M93" s="137">
        <v>3793</v>
      </c>
      <c r="N93" s="137">
        <v>2016</v>
      </c>
      <c r="O93" s="171">
        <v>1235.9079999999999</v>
      </c>
      <c r="P93" s="139">
        <f t="shared" si="21"/>
        <v>1.036418142629115E-2</v>
      </c>
      <c r="Q93" s="136">
        <v>8</v>
      </c>
      <c r="R93" s="137">
        <v>3702</v>
      </c>
      <c r="S93" s="137">
        <v>1860</v>
      </c>
      <c r="T93" s="171">
        <v>1129.587</v>
      </c>
      <c r="U93" s="139">
        <f t="shared" si="22"/>
        <v>9.0149795633105139E-3</v>
      </c>
      <c r="V93" s="136">
        <v>10</v>
      </c>
      <c r="W93" s="137">
        <v>4143</v>
      </c>
      <c r="X93" s="137">
        <v>2127</v>
      </c>
      <c r="Y93" s="171">
        <v>1232.5139999999999</v>
      </c>
      <c r="Z93" s="139">
        <f t="shared" si="23"/>
        <v>9.5694910729153468E-3</v>
      </c>
    </row>
    <row r="94" spans="1:26" x14ac:dyDescent="0.2">
      <c r="A94" s="118" t="str">
        <f>$A$14</f>
        <v>Autonom mit Excess-of-Loss-Versicherung</v>
      </c>
      <c r="B94" s="36">
        <v>2</v>
      </c>
      <c r="C94" s="10">
        <v>10361</v>
      </c>
      <c r="D94" s="10">
        <v>3077</v>
      </c>
      <c r="E94" s="154">
        <v>3664.692</v>
      </c>
      <c r="F94" s="37">
        <f t="shared" si="19"/>
        <v>2.734638310926928E-2</v>
      </c>
      <c r="G94" s="53">
        <v>2</v>
      </c>
      <c r="H94" s="54">
        <v>10167</v>
      </c>
      <c r="I94" s="54">
        <v>2956</v>
      </c>
      <c r="J94" s="164">
        <v>3410.57</v>
      </c>
      <c r="K94" s="56">
        <f t="shared" si="20"/>
        <v>2.6796356326602228E-2</v>
      </c>
      <c r="L94" s="136">
        <v>2</v>
      </c>
      <c r="M94" s="137">
        <v>9965</v>
      </c>
      <c r="N94" s="137">
        <v>2835</v>
      </c>
      <c r="O94" s="171">
        <v>3288.933</v>
      </c>
      <c r="P94" s="139">
        <f t="shared" si="21"/>
        <v>2.7580611429747225E-2</v>
      </c>
      <c r="Q94" s="136">
        <v>2</v>
      </c>
      <c r="R94" s="137">
        <v>36602</v>
      </c>
      <c r="S94" s="137">
        <v>13051</v>
      </c>
      <c r="T94" s="171">
        <v>10652.398999999999</v>
      </c>
      <c r="U94" s="139">
        <f t="shared" si="22"/>
        <v>8.5014398435206279E-2</v>
      </c>
      <c r="V94" s="136">
        <v>2</v>
      </c>
      <c r="W94" s="137">
        <v>36060</v>
      </c>
      <c r="X94" s="137">
        <v>11336</v>
      </c>
      <c r="Y94" s="171">
        <v>10225.697</v>
      </c>
      <c r="Z94" s="139">
        <f t="shared" si="23"/>
        <v>7.9394405382687133E-2</v>
      </c>
    </row>
    <row r="95" spans="1:26" ht="25.5" x14ac:dyDescent="0.2">
      <c r="A95" s="118" t="str">
        <f>$A$15</f>
        <v>Teilautonom: Altersrenten durch VE sichergestellt</v>
      </c>
      <c r="B95" s="36">
        <v>2</v>
      </c>
      <c r="C95" s="10">
        <v>704</v>
      </c>
      <c r="D95" s="10">
        <v>345</v>
      </c>
      <c r="E95" s="154">
        <v>224.15</v>
      </c>
      <c r="F95" s="37">
        <f t="shared" si="19"/>
        <v>1.6726349100941386E-3</v>
      </c>
      <c r="G95" s="53">
        <v>2</v>
      </c>
      <c r="H95" s="54">
        <v>700</v>
      </c>
      <c r="I95" s="54">
        <v>352</v>
      </c>
      <c r="J95" s="164">
        <v>230.27799999999999</v>
      </c>
      <c r="K95" s="56">
        <f t="shared" si="20"/>
        <v>1.8092610156593496E-3</v>
      </c>
      <c r="L95" s="136">
        <v>2</v>
      </c>
      <c r="M95" s="137">
        <v>669</v>
      </c>
      <c r="N95" s="137">
        <v>345</v>
      </c>
      <c r="O95" s="171">
        <v>221.185</v>
      </c>
      <c r="P95" s="139">
        <f t="shared" si="21"/>
        <v>1.8548318068773793E-3</v>
      </c>
      <c r="Q95" s="136">
        <v>2</v>
      </c>
      <c r="R95" s="137">
        <v>682</v>
      </c>
      <c r="S95" s="137">
        <v>334</v>
      </c>
      <c r="T95" s="171">
        <v>216.58600000000001</v>
      </c>
      <c r="U95" s="139">
        <f t="shared" si="22"/>
        <v>1.728524109873052E-3</v>
      </c>
      <c r="V95" s="136">
        <v>5</v>
      </c>
      <c r="W95" s="137">
        <v>1370</v>
      </c>
      <c r="X95" s="137">
        <v>582</v>
      </c>
      <c r="Y95" s="171">
        <v>375.673</v>
      </c>
      <c r="Z95" s="139">
        <f t="shared" si="23"/>
        <v>2.9168020970433825E-3</v>
      </c>
    </row>
    <row r="96" spans="1:26" ht="25.5" x14ac:dyDescent="0.2">
      <c r="A96" s="118" t="str">
        <f>$A$16</f>
        <v>Teilautonom: Kauf individueller Altersrenten bei einer Versicherung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20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21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12.75" customHeight="1" x14ac:dyDescent="0.2">
      <c r="A97" s="118" t="str">
        <f>$A$17</f>
        <v>Vollversicherung (Kollektiv)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9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20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21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22"/>
        <v>0</v>
      </c>
      <c r="V97" s="136">
        <v>0</v>
      </c>
      <c r="W97" s="137">
        <v>0</v>
      </c>
      <c r="X97" s="137">
        <v>0</v>
      </c>
      <c r="Y97" s="171">
        <v>0</v>
      </c>
      <c r="Z97" s="139">
        <f t="shared" si="23"/>
        <v>0</v>
      </c>
    </row>
    <row r="98" spans="1:26" ht="12.75" customHeight="1" x14ac:dyDescent="0.2">
      <c r="A98" s="118" t="str">
        <f>$A$18</f>
        <v>Spareinrichtung</v>
      </c>
      <c r="B98" s="36">
        <v>1</v>
      </c>
      <c r="C98" s="10">
        <v>460</v>
      </c>
      <c r="D98" s="10">
        <v>119</v>
      </c>
      <c r="E98" s="154">
        <v>29.69</v>
      </c>
      <c r="F98" s="37">
        <f t="shared" si="19"/>
        <v>2.2155043712110184E-4</v>
      </c>
      <c r="G98" s="53">
        <v>1</v>
      </c>
      <c r="H98" s="54">
        <v>454</v>
      </c>
      <c r="I98" s="54">
        <v>119</v>
      </c>
      <c r="J98" s="164">
        <v>29.873000000000001</v>
      </c>
      <c r="K98" s="56">
        <f t="shared" si="20"/>
        <v>2.3470785016715341E-4</v>
      </c>
      <c r="L98" s="136">
        <v>1</v>
      </c>
      <c r="M98" s="137">
        <v>392</v>
      </c>
      <c r="N98" s="137">
        <v>118</v>
      </c>
      <c r="O98" s="171">
        <v>28.606999999999999</v>
      </c>
      <c r="P98" s="139">
        <f t="shared" si="21"/>
        <v>2.3989499061573429E-4</v>
      </c>
      <c r="Q98" s="136">
        <v>1</v>
      </c>
      <c r="R98" s="137">
        <v>390</v>
      </c>
      <c r="S98" s="137">
        <v>108</v>
      </c>
      <c r="T98" s="171">
        <v>27.001999999999999</v>
      </c>
      <c r="U98" s="139">
        <f t="shared" si="22"/>
        <v>2.1549688352336783E-4</v>
      </c>
      <c r="V98" s="136">
        <v>1</v>
      </c>
      <c r="W98" s="137">
        <v>396</v>
      </c>
      <c r="X98" s="137">
        <v>102</v>
      </c>
      <c r="Y98" s="171">
        <v>25.695</v>
      </c>
      <c r="Z98" s="139">
        <f t="shared" si="23"/>
        <v>1.9950124146140316E-4</v>
      </c>
    </row>
    <row r="99" spans="1:2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127277.37900000002</v>
      </c>
      <c r="K116" s="72">
        <f t="shared" ref="K116" si="25">SUM(K$92:K$115)</f>
        <v>0.99999999999999989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1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Translation!$A$417</f>
        <v>Verwaltungsform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8" t="str">
        <f>Translation!$A418</f>
        <v>Vorsorgeeinrichtung eines Arbeitgebers</v>
      </c>
      <c r="B12" s="30">
        <v>680</v>
      </c>
      <c r="C12" s="6">
        <v>246382</v>
      </c>
      <c r="D12" s="6">
        <v>93818</v>
      </c>
      <c r="E12" s="150">
        <v>85857.244999999995</v>
      </c>
      <c r="F12" s="31">
        <f t="shared" ref="F12:F17" si="0">E12/E$36</f>
        <v>9.5049713519705592E-2</v>
      </c>
      <c r="G12" s="41">
        <v>706</v>
      </c>
      <c r="H12" s="42">
        <v>256188</v>
      </c>
      <c r="I12" s="42">
        <v>91654</v>
      </c>
      <c r="J12" s="160">
        <v>87206.671000000002</v>
      </c>
      <c r="K12" s="44">
        <f t="shared" ref="K12:K17" si="1">J12/J$36</f>
        <v>0.10139542581785774</v>
      </c>
      <c r="L12" s="76">
        <v>735</v>
      </c>
      <c r="M12" s="122">
        <v>250072</v>
      </c>
      <c r="N12" s="122">
        <v>89058</v>
      </c>
      <c r="O12" s="167">
        <v>80980.982999999993</v>
      </c>
      <c r="P12" s="124">
        <f t="shared" ref="P12:P17" si="2">O12/O$36</f>
        <v>9.8369820736624952E-2</v>
      </c>
      <c r="Q12" s="76">
        <v>818</v>
      </c>
      <c r="R12" s="122">
        <v>265689</v>
      </c>
      <c r="S12" s="122">
        <v>88619</v>
      </c>
      <c r="T12" s="167">
        <v>90023.186000000002</v>
      </c>
      <c r="U12" s="124">
        <f t="shared" ref="U12:U17" si="3">T12/T$36</f>
        <v>0.11196481767559675</v>
      </c>
      <c r="V12" s="76">
        <v>876</v>
      </c>
      <c r="W12" s="122">
        <v>271768</v>
      </c>
      <c r="X12" s="122">
        <v>91834</v>
      </c>
      <c r="Y12" s="167">
        <v>79366.039999999994</v>
      </c>
      <c r="Z12" s="124">
        <f t="shared" ref="Z12:Z17" si="4">Y12/Y$36</f>
        <v>0.10646659767120566</v>
      </c>
    </row>
    <row r="13" spans="1:26" x14ac:dyDescent="0.2">
      <c r="A13" s="118" t="str">
        <f>Translation!$A419</f>
        <v>Vorsorgeeinrichtung eines Konzerns</v>
      </c>
      <c r="B13" s="30">
        <v>529</v>
      </c>
      <c r="C13" s="6">
        <v>673637</v>
      </c>
      <c r="D13" s="6">
        <v>298932</v>
      </c>
      <c r="E13" s="150">
        <v>256429.80300000001</v>
      </c>
      <c r="F13" s="31">
        <f t="shared" si="0"/>
        <v>0.28388494544711451</v>
      </c>
      <c r="G13" s="41">
        <v>527</v>
      </c>
      <c r="H13" s="42">
        <v>658747</v>
      </c>
      <c r="I13" s="42">
        <v>293242</v>
      </c>
      <c r="J13" s="160">
        <v>242617.495</v>
      </c>
      <c r="K13" s="44">
        <f t="shared" si="1"/>
        <v>0.28209199977817029</v>
      </c>
      <c r="L13" s="76">
        <v>550</v>
      </c>
      <c r="M13" s="122">
        <v>614153</v>
      </c>
      <c r="N13" s="122">
        <v>261637</v>
      </c>
      <c r="O13" s="167">
        <v>214187.03599999999</v>
      </c>
      <c r="P13" s="124">
        <f t="shared" si="2"/>
        <v>0.26017886613489288</v>
      </c>
      <c r="Q13" s="76">
        <v>561</v>
      </c>
      <c r="R13" s="122">
        <v>626349</v>
      </c>
      <c r="S13" s="122">
        <v>267793</v>
      </c>
      <c r="T13" s="167">
        <v>206967.057</v>
      </c>
      <c r="U13" s="124">
        <f t="shared" si="3"/>
        <v>0.25741178280293081</v>
      </c>
      <c r="V13" s="76">
        <v>556</v>
      </c>
      <c r="W13" s="122">
        <v>614435</v>
      </c>
      <c r="X13" s="122">
        <v>264590</v>
      </c>
      <c r="Y13" s="167">
        <v>233004.948</v>
      </c>
      <c r="Z13" s="124">
        <f t="shared" si="4"/>
        <v>0.31256749176494375</v>
      </c>
    </row>
    <row r="14" spans="1:26" x14ac:dyDescent="0.2">
      <c r="A14" s="118" t="str">
        <f>Translation!$A420</f>
        <v>Anderer Zusammenschluss mehrerer Arbeitgeber</v>
      </c>
      <c r="B14" s="30">
        <v>162</v>
      </c>
      <c r="C14" s="6">
        <v>149471</v>
      </c>
      <c r="D14" s="6">
        <v>73347</v>
      </c>
      <c r="E14" s="150">
        <v>51566.955999999998</v>
      </c>
      <c r="F14" s="31">
        <f t="shared" si="0"/>
        <v>5.7088069794031519E-2</v>
      </c>
      <c r="G14" s="41">
        <v>167</v>
      </c>
      <c r="H14" s="42">
        <v>151805</v>
      </c>
      <c r="I14" s="42">
        <v>74383</v>
      </c>
      <c r="J14" s="160">
        <v>51170.544999999998</v>
      </c>
      <c r="K14" s="44">
        <f t="shared" si="1"/>
        <v>5.9496127304376187E-2</v>
      </c>
      <c r="L14" s="76">
        <v>170</v>
      </c>
      <c r="M14" s="122">
        <v>169864</v>
      </c>
      <c r="N14" s="122">
        <v>75071</v>
      </c>
      <c r="O14" s="167">
        <v>53573.053</v>
      </c>
      <c r="P14" s="124">
        <f t="shared" si="2"/>
        <v>6.5076656576565736E-2</v>
      </c>
      <c r="Q14" s="76">
        <v>164</v>
      </c>
      <c r="R14" s="122">
        <v>90805</v>
      </c>
      <c r="S14" s="122">
        <v>30789</v>
      </c>
      <c r="T14" s="167">
        <v>22622.091</v>
      </c>
      <c r="U14" s="124">
        <f t="shared" si="3"/>
        <v>2.8135843739808968E-2</v>
      </c>
      <c r="V14" s="76">
        <v>171</v>
      </c>
      <c r="W14" s="122">
        <v>96363</v>
      </c>
      <c r="X14" s="122">
        <v>31639</v>
      </c>
      <c r="Y14" s="167">
        <v>24520.55</v>
      </c>
      <c r="Z14" s="124">
        <f t="shared" si="4"/>
        <v>3.28934079554263E-2</v>
      </c>
    </row>
    <row r="15" spans="1:26" x14ac:dyDescent="0.2">
      <c r="A15" s="118" t="str">
        <f>Translation!$A421</f>
        <v>Gemeinschaftseinrichtung</v>
      </c>
      <c r="B15" s="30">
        <v>106</v>
      </c>
      <c r="C15" s="6">
        <v>844651</v>
      </c>
      <c r="D15" s="6">
        <v>101972</v>
      </c>
      <c r="E15" s="150">
        <v>87168.917000000001</v>
      </c>
      <c r="F15" s="31">
        <f t="shared" si="0"/>
        <v>9.650182216623647E-2</v>
      </c>
      <c r="G15" s="41">
        <v>105</v>
      </c>
      <c r="H15" s="42">
        <v>778836</v>
      </c>
      <c r="I15" s="42">
        <v>96460</v>
      </c>
      <c r="J15" s="160">
        <v>79724.338000000003</v>
      </c>
      <c r="K15" s="44">
        <f t="shared" si="1"/>
        <v>9.269569755227576E-2</v>
      </c>
      <c r="L15" s="76">
        <v>105</v>
      </c>
      <c r="M15" s="122">
        <v>838419</v>
      </c>
      <c r="N15" s="122">
        <v>120277</v>
      </c>
      <c r="O15" s="167">
        <v>91418.653999999995</v>
      </c>
      <c r="P15" s="124">
        <f t="shared" si="2"/>
        <v>0.11104874592549144</v>
      </c>
      <c r="Q15" s="76">
        <v>123</v>
      </c>
      <c r="R15" s="122">
        <v>1071631</v>
      </c>
      <c r="S15" s="122">
        <v>238173</v>
      </c>
      <c r="T15" s="167">
        <v>181617.16800000001</v>
      </c>
      <c r="U15" s="124">
        <f t="shared" si="3"/>
        <v>0.22588328635556429</v>
      </c>
      <c r="V15" s="76">
        <v>123</v>
      </c>
      <c r="W15" s="122">
        <v>1049827</v>
      </c>
      <c r="X15" s="122">
        <v>229189</v>
      </c>
      <c r="Y15" s="167">
        <v>172307.15700000001</v>
      </c>
      <c r="Z15" s="124">
        <f t="shared" si="4"/>
        <v>0.23114365741554285</v>
      </c>
    </row>
    <row r="16" spans="1:26" x14ac:dyDescent="0.2">
      <c r="A16" s="118" t="str">
        <f>Translation!$A422</f>
        <v>Sammeleinrichtung</v>
      </c>
      <c r="B16" s="30">
        <v>117</v>
      </c>
      <c r="C16" s="6">
        <v>1659986</v>
      </c>
      <c r="D16" s="6">
        <v>70940</v>
      </c>
      <c r="E16" s="150">
        <v>180384.90599999999</v>
      </c>
      <c r="F16" s="31">
        <f t="shared" si="0"/>
        <v>0.19969815754720549</v>
      </c>
      <c r="G16" s="41">
        <v>116</v>
      </c>
      <c r="H16" s="42">
        <v>1604391</v>
      </c>
      <c r="I16" s="42">
        <v>60526</v>
      </c>
      <c r="J16" s="160">
        <v>167399.39799999999</v>
      </c>
      <c r="K16" s="44">
        <f t="shared" si="1"/>
        <v>0.19463572049279396</v>
      </c>
      <c r="L16" s="76">
        <v>123</v>
      </c>
      <c r="M16" s="122">
        <v>1582704</v>
      </c>
      <c r="N16" s="122">
        <v>70281</v>
      </c>
      <c r="O16" s="167">
        <v>161980.34400000001</v>
      </c>
      <c r="P16" s="124">
        <f t="shared" si="2"/>
        <v>0.19676196573381735</v>
      </c>
      <c r="Q16" s="76">
        <v>130</v>
      </c>
      <c r="R16" s="122">
        <v>1549450</v>
      </c>
      <c r="S16" s="122">
        <v>58825</v>
      </c>
      <c r="T16" s="167">
        <v>152150.33900000001</v>
      </c>
      <c r="U16" s="124">
        <f t="shared" si="3"/>
        <v>0.18923441529180315</v>
      </c>
      <c r="V16" s="76">
        <v>124</v>
      </c>
      <c r="W16" s="122">
        <v>1507488</v>
      </c>
      <c r="X16" s="122">
        <v>142795</v>
      </c>
      <c r="Y16" s="167">
        <v>90648.31</v>
      </c>
      <c r="Z16" s="124">
        <f t="shared" si="4"/>
        <v>0.121601344231673</v>
      </c>
    </row>
    <row r="17" spans="1:26" ht="25.5" x14ac:dyDescent="0.2">
      <c r="A17" s="119" t="str">
        <f>Translation!$A423</f>
        <v>Sammel-/Gemeinschaftseinrichtung öffentlich-rechtl. Arbeitgeber</v>
      </c>
      <c r="B17" s="30">
        <v>60</v>
      </c>
      <c r="C17" s="6">
        <v>601785</v>
      </c>
      <c r="D17" s="6">
        <v>278482</v>
      </c>
      <c r="E17" s="150">
        <v>241879.95600000001</v>
      </c>
      <c r="F17" s="31">
        <f t="shared" si="0"/>
        <v>0.26777729152570634</v>
      </c>
      <c r="G17" s="41">
        <v>61</v>
      </c>
      <c r="H17" s="42">
        <v>600127</v>
      </c>
      <c r="I17" s="42">
        <v>272560</v>
      </c>
      <c r="J17" s="160">
        <v>231946.69200000001</v>
      </c>
      <c r="K17" s="44">
        <f t="shared" si="1"/>
        <v>0.26968502905452607</v>
      </c>
      <c r="L17" s="76">
        <v>60</v>
      </c>
      <c r="M17" s="122">
        <v>582943</v>
      </c>
      <c r="N17" s="122">
        <v>262277</v>
      </c>
      <c r="O17" s="167">
        <v>221089.88399999999</v>
      </c>
      <c r="P17" s="124">
        <f t="shared" si="2"/>
        <v>0.26856394489260776</v>
      </c>
      <c r="Q17" s="76">
        <v>49</v>
      </c>
      <c r="R17" s="122">
        <v>400113</v>
      </c>
      <c r="S17" s="122">
        <v>184619</v>
      </c>
      <c r="T17" s="167">
        <v>150651.174</v>
      </c>
      <c r="U17" s="124">
        <f t="shared" si="3"/>
        <v>0.18736985413429605</v>
      </c>
      <c r="V17" s="76">
        <v>55</v>
      </c>
      <c r="W17" s="122">
        <v>392867</v>
      </c>
      <c r="X17" s="122">
        <v>183285</v>
      </c>
      <c r="Y17" s="167">
        <v>145607.82999999999</v>
      </c>
      <c r="Z17" s="124">
        <f t="shared" si="4"/>
        <v>0.19532750096120846</v>
      </c>
    </row>
    <row r="18" spans="1:26" ht="12.75" hidden="1" customHeight="1" x14ac:dyDescent="0.2">
      <c r="A18" s="119"/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A19" s="119"/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A20" s="119"/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A21" s="119"/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A22" s="119"/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A23" s="119"/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A24" s="119"/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A25" s="119"/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A26" s="119"/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A27" s="119"/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A28" s="119"/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A29" s="119"/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A30" s="119"/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A31" s="119"/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A32" s="119"/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A33" s="119"/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A34" s="119"/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A35" s="119"/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823229.95399999991</v>
      </c>
      <c r="P36" s="127">
        <f>SUM(P$12:P$35)</f>
        <v>1.0000000000000002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8" t="str">
        <f>$A$12</f>
        <v>Vorsorgeeinrichtung eines Arbeitgebers</v>
      </c>
      <c r="B52" s="33">
        <v>672</v>
      </c>
      <c r="C52" s="8">
        <v>243675</v>
      </c>
      <c r="D52" s="8">
        <v>92616</v>
      </c>
      <c r="E52" s="152">
        <v>85125.197</v>
      </c>
      <c r="F52" s="34">
        <f t="shared" ref="F52:F57" si="10">E52/E$76</f>
        <v>0.11065600986783361</v>
      </c>
      <c r="G52" s="47">
        <v>698</v>
      </c>
      <c r="H52" s="48">
        <v>253528</v>
      </c>
      <c r="I52" s="48">
        <v>90475</v>
      </c>
      <c r="J52" s="162">
        <v>86488.729000000007</v>
      </c>
      <c r="K52" s="50">
        <f t="shared" ref="K52:K57" si="11">J52/J$76</f>
        <v>0.11802698369306824</v>
      </c>
      <c r="L52" s="128">
        <v>727</v>
      </c>
      <c r="M52" s="129">
        <v>247543</v>
      </c>
      <c r="N52" s="129">
        <v>87921</v>
      </c>
      <c r="O52" s="169">
        <v>80287.793999999994</v>
      </c>
      <c r="P52" s="131">
        <f t="shared" ref="P52:P57" si="12">O52/O$76</f>
        <v>0.11404808684404541</v>
      </c>
      <c r="Q52" s="128">
        <v>809</v>
      </c>
      <c r="R52" s="129">
        <v>237227</v>
      </c>
      <c r="S52" s="129">
        <v>74962</v>
      </c>
      <c r="T52" s="169">
        <v>78641.448999999993</v>
      </c>
      <c r="U52" s="131">
        <f t="shared" ref="U52:U57" si="13">T52/T$76</f>
        <v>0.11586560296793408</v>
      </c>
      <c r="V52" s="128">
        <v>861</v>
      </c>
      <c r="W52" s="129">
        <v>239345</v>
      </c>
      <c r="X52" s="129">
        <v>76994</v>
      </c>
      <c r="Y52" s="169">
        <v>67483.591</v>
      </c>
      <c r="Z52" s="131">
        <f t="shared" ref="Z52:Z57" si="14">Y52/Y$76</f>
        <v>0.10943427398059793</v>
      </c>
    </row>
    <row r="53" spans="1:26" x14ac:dyDescent="0.2">
      <c r="A53" s="118" t="str">
        <f>$A$13</f>
        <v>Vorsorgeeinrichtung eines Konzerns</v>
      </c>
      <c r="B53" s="33">
        <v>529</v>
      </c>
      <c r="C53" s="8">
        <v>673637</v>
      </c>
      <c r="D53" s="8">
        <v>298932</v>
      </c>
      <c r="E53" s="152">
        <v>256429.80300000001</v>
      </c>
      <c r="F53" s="34">
        <f t="shared" si="10"/>
        <v>0.333338421656453</v>
      </c>
      <c r="G53" s="47">
        <v>527</v>
      </c>
      <c r="H53" s="48">
        <v>658747</v>
      </c>
      <c r="I53" s="48">
        <v>293242</v>
      </c>
      <c r="J53" s="162">
        <v>242617.495</v>
      </c>
      <c r="K53" s="50">
        <f t="shared" si="11"/>
        <v>0.33108835633389944</v>
      </c>
      <c r="L53" s="128">
        <v>550</v>
      </c>
      <c r="M53" s="129">
        <v>614153</v>
      </c>
      <c r="N53" s="129">
        <v>261637</v>
      </c>
      <c r="O53" s="169">
        <v>214187.03599999999</v>
      </c>
      <c r="P53" s="131">
        <f t="shared" si="12"/>
        <v>0.30425075177176597</v>
      </c>
      <c r="Q53" s="128">
        <v>559</v>
      </c>
      <c r="R53" s="129">
        <v>622133</v>
      </c>
      <c r="S53" s="129">
        <v>265995</v>
      </c>
      <c r="T53" s="169">
        <v>205720.8</v>
      </c>
      <c r="U53" s="131">
        <f t="shared" si="13"/>
        <v>0.30309671093478674</v>
      </c>
      <c r="V53" s="128">
        <v>556</v>
      </c>
      <c r="W53" s="129">
        <v>614435</v>
      </c>
      <c r="X53" s="129">
        <v>264590</v>
      </c>
      <c r="Y53" s="169">
        <v>233004.948</v>
      </c>
      <c r="Z53" s="131">
        <f t="shared" si="14"/>
        <v>0.37785077735811323</v>
      </c>
    </row>
    <row r="54" spans="1:26" x14ac:dyDescent="0.2">
      <c r="A54" s="118" t="str">
        <f>$A$14</f>
        <v>Anderer Zusammenschluss mehrerer Arbeitgeber</v>
      </c>
      <c r="B54" s="33">
        <v>160</v>
      </c>
      <c r="C54" s="8">
        <v>148586</v>
      </c>
      <c r="D54" s="8">
        <v>72887</v>
      </c>
      <c r="E54" s="152">
        <v>51319.913</v>
      </c>
      <c r="F54" s="34">
        <f t="shared" si="10"/>
        <v>6.6711819760538846E-2</v>
      </c>
      <c r="G54" s="47">
        <v>165</v>
      </c>
      <c r="H54" s="48">
        <v>150946</v>
      </c>
      <c r="I54" s="48">
        <v>73950</v>
      </c>
      <c r="J54" s="162">
        <v>50933.321000000004</v>
      </c>
      <c r="K54" s="50">
        <f t="shared" si="11"/>
        <v>6.9506238750494415E-2</v>
      </c>
      <c r="L54" s="128">
        <v>168</v>
      </c>
      <c r="M54" s="129">
        <v>169015</v>
      </c>
      <c r="N54" s="129">
        <v>74647</v>
      </c>
      <c r="O54" s="169">
        <v>53341.607000000004</v>
      </c>
      <c r="P54" s="131">
        <f t="shared" si="12"/>
        <v>7.5771271378273788E-2</v>
      </c>
      <c r="Q54" s="128">
        <v>160</v>
      </c>
      <c r="R54" s="129">
        <v>83075</v>
      </c>
      <c r="S54" s="129">
        <v>27539</v>
      </c>
      <c r="T54" s="169">
        <v>20596.258999999998</v>
      </c>
      <c r="U54" s="131">
        <f t="shared" si="13"/>
        <v>3.0345294984566458E-2</v>
      </c>
      <c r="V54" s="128">
        <v>165</v>
      </c>
      <c r="W54" s="129">
        <v>86086</v>
      </c>
      <c r="X54" s="129">
        <v>27544</v>
      </c>
      <c r="Y54" s="169">
        <v>21868.703000000001</v>
      </c>
      <c r="Z54" s="131">
        <f t="shared" si="14"/>
        <v>3.5463222988568049E-2</v>
      </c>
    </row>
    <row r="55" spans="1:26" x14ac:dyDescent="0.2">
      <c r="A55" s="118" t="str">
        <f>$A$15</f>
        <v>Gemeinschaftseinrichtung</v>
      </c>
      <c r="B55" s="33">
        <v>106</v>
      </c>
      <c r="C55" s="8">
        <v>844651</v>
      </c>
      <c r="D55" s="8">
        <v>101972</v>
      </c>
      <c r="E55" s="152">
        <v>87168.917000000001</v>
      </c>
      <c r="F55" s="34">
        <f t="shared" si="10"/>
        <v>0.1133126839015758</v>
      </c>
      <c r="G55" s="47">
        <v>105</v>
      </c>
      <c r="H55" s="48">
        <v>778836</v>
      </c>
      <c r="I55" s="48">
        <v>96460</v>
      </c>
      <c r="J55" s="162">
        <v>79724.338000000003</v>
      </c>
      <c r="K55" s="50">
        <f t="shared" si="11"/>
        <v>0.10879594659168434</v>
      </c>
      <c r="L55" s="128">
        <v>105</v>
      </c>
      <c r="M55" s="129">
        <v>838419</v>
      </c>
      <c r="N55" s="129">
        <v>120277</v>
      </c>
      <c r="O55" s="169">
        <v>91418.653999999995</v>
      </c>
      <c r="P55" s="131">
        <f t="shared" si="12"/>
        <v>0.12985937302696024</v>
      </c>
      <c r="Q55" s="128">
        <v>119</v>
      </c>
      <c r="R55" s="129">
        <v>1008703</v>
      </c>
      <c r="S55" s="129">
        <v>208894</v>
      </c>
      <c r="T55" s="169">
        <v>155964.06299999999</v>
      </c>
      <c r="U55" s="131">
        <f t="shared" si="13"/>
        <v>0.22978811340090971</v>
      </c>
      <c r="V55" s="128">
        <v>118</v>
      </c>
      <c r="W55" s="129">
        <v>980293</v>
      </c>
      <c r="X55" s="129">
        <v>197817</v>
      </c>
      <c r="Y55" s="169">
        <v>144988.06299999999</v>
      </c>
      <c r="Z55" s="131">
        <f t="shared" si="14"/>
        <v>0.2351188366703573</v>
      </c>
    </row>
    <row r="56" spans="1:26" x14ac:dyDescent="0.2">
      <c r="A56" s="118" t="str">
        <f>$A$16</f>
        <v>Sammeleinrichtung</v>
      </c>
      <c r="B56" s="33">
        <v>117</v>
      </c>
      <c r="C56" s="8">
        <v>1659986</v>
      </c>
      <c r="D56" s="8">
        <v>70940</v>
      </c>
      <c r="E56" s="152">
        <v>180384.90599999999</v>
      </c>
      <c r="F56" s="34">
        <f t="shared" si="10"/>
        <v>0.23448608216841174</v>
      </c>
      <c r="G56" s="47">
        <v>116</v>
      </c>
      <c r="H56" s="48">
        <v>1604391</v>
      </c>
      <c r="I56" s="48">
        <v>60526</v>
      </c>
      <c r="J56" s="162">
        <v>167399.39799999999</v>
      </c>
      <c r="K56" s="50">
        <f t="shared" si="11"/>
        <v>0.22844185879960657</v>
      </c>
      <c r="L56" s="128">
        <v>123</v>
      </c>
      <c r="M56" s="129">
        <v>1582704</v>
      </c>
      <c r="N56" s="129">
        <v>70281</v>
      </c>
      <c r="O56" s="169">
        <v>161980.34400000001</v>
      </c>
      <c r="P56" s="131">
        <f t="shared" si="12"/>
        <v>0.2300916169092945</v>
      </c>
      <c r="Q56" s="128">
        <v>130</v>
      </c>
      <c r="R56" s="129">
        <v>1549450</v>
      </c>
      <c r="S56" s="129">
        <v>58825</v>
      </c>
      <c r="T56" s="169">
        <v>152150.33900000001</v>
      </c>
      <c r="U56" s="131">
        <f t="shared" si="13"/>
        <v>0.224169200773635</v>
      </c>
      <c r="V56" s="128">
        <v>124</v>
      </c>
      <c r="W56" s="129">
        <v>1507488</v>
      </c>
      <c r="X56" s="129">
        <v>142795</v>
      </c>
      <c r="Y56" s="169">
        <v>90648.31</v>
      </c>
      <c r="Z56" s="131">
        <f t="shared" si="14"/>
        <v>0.14699917187895611</v>
      </c>
    </row>
    <row r="57" spans="1:26" ht="25.5" x14ac:dyDescent="0.2">
      <c r="A57" s="118" t="str">
        <f>$A$17</f>
        <v>Sammel-/Gemeinschaftseinrichtung öffentlich-rechtl. Arbeitgeber</v>
      </c>
      <c r="B57" s="33">
        <v>32</v>
      </c>
      <c r="C57" s="8">
        <v>279654</v>
      </c>
      <c r="D57" s="8">
        <v>123960</v>
      </c>
      <c r="E57" s="152">
        <v>108848.93</v>
      </c>
      <c r="F57" s="34">
        <f t="shared" si="10"/>
        <v>0.14149498264518703</v>
      </c>
      <c r="G57" s="47">
        <v>32</v>
      </c>
      <c r="H57" s="48">
        <v>281606</v>
      </c>
      <c r="I57" s="48">
        <v>124074</v>
      </c>
      <c r="J57" s="162">
        <v>105624.47900000001</v>
      </c>
      <c r="K57" s="50">
        <f t="shared" si="11"/>
        <v>0.14414061583124696</v>
      </c>
      <c r="L57" s="128">
        <v>32</v>
      </c>
      <c r="M57" s="129">
        <v>277978</v>
      </c>
      <c r="N57" s="129">
        <v>120004</v>
      </c>
      <c r="O57" s="169">
        <v>102766.51</v>
      </c>
      <c r="P57" s="131">
        <f t="shared" si="12"/>
        <v>0.14597890006966016</v>
      </c>
      <c r="Q57" s="128">
        <v>25</v>
      </c>
      <c r="R57" s="129">
        <v>164069</v>
      </c>
      <c r="S57" s="129">
        <v>78691</v>
      </c>
      <c r="T57" s="169">
        <v>65656.989000000001</v>
      </c>
      <c r="U57" s="131">
        <f t="shared" si="13"/>
        <v>9.6735076938168005E-2</v>
      </c>
      <c r="V57" s="128">
        <v>23</v>
      </c>
      <c r="W57" s="129">
        <v>146985</v>
      </c>
      <c r="X57" s="129">
        <v>73887</v>
      </c>
      <c r="Y57" s="169">
        <v>58665.029000000002</v>
      </c>
      <c r="Z57" s="131">
        <f t="shared" si="14"/>
        <v>9.513371712340743E-2</v>
      </c>
    </row>
    <row r="58" spans="1:26" ht="12.75" hidden="1" customHeight="1" x14ac:dyDescent="0.2">
      <c r="A58" s="118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8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8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8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8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8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8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8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8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8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8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8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8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8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8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8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8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A75" s="119"/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0.99999999999999989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616658.64399999997</v>
      </c>
      <c r="Z76" s="135">
        <f t="shared" si="1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8" t="str">
        <f>$A$12</f>
        <v>Vorsorgeeinrichtung eines Arbeitgebers</v>
      </c>
      <c r="B92" s="36">
        <v>8</v>
      </c>
      <c r="C92" s="10">
        <v>2707</v>
      </c>
      <c r="D92" s="10">
        <v>1202</v>
      </c>
      <c r="E92" s="154">
        <v>732.048</v>
      </c>
      <c r="F92" s="37">
        <f t="shared" ref="F92:F97" si="19">E92/E$116</f>
        <v>5.4626323473771759E-3</v>
      </c>
      <c r="G92" s="53">
        <v>8</v>
      </c>
      <c r="H92" s="54">
        <v>2660</v>
      </c>
      <c r="I92" s="54">
        <v>1179</v>
      </c>
      <c r="J92" s="164">
        <v>717.94200000000001</v>
      </c>
      <c r="K92" s="56">
        <f t="shared" ref="K92:K97" si="20">J92/J$116</f>
        <v>5.6407666911494148E-3</v>
      </c>
      <c r="L92" s="136">
        <v>8</v>
      </c>
      <c r="M92" s="137">
        <v>2529</v>
      </c>
      <c r="N92" s="137">
        <v>1137</v>
      </c>
      <c r="O92" s="171">
        <v>693.18899999999996</v>
      </c>
      <c r="P92" s="139">
        <f t="shared" ref="P92:P97" si="21">O92/O$116</f>
        <v>5.8130027143681708E-3</v>
      </c>
      <c r="Q92" s="136">
        <v>9</v>
      </c>
      <c r="R92" s="137">
        <v>28462</v>
      </c>
      <c r="S92" s="137">
        <v>13657</v>
      </c>
      <c r="T92" s="171">
        <v>11381.736999999999</v>
      </c>
      <c r="U92" s="139">
        <f t="shared" ref="U92:U97" si="22">T92/T$116</f>
        <v>9.0835080830405368E-2</v>
      </c>
      <c r="V92" s="136">
        <v>15</v>
      </c>
      <c r="W92" s="137">
        <v>32423</v>
      </c>
      <c r="X92" s="137">
        <v>14840</v>
      </c>
      <c r="Y92" s="171">
        <v>11882.449000000001</v>
      </c>
      <c r="Z92" s="139">
        <f t="shared" ref="Z92:Z97" si="23">Y92/Y$116</f>
        <v>9.225776715710482E-2</v>
      </c>
    </row>
    <row r="93" spans="1:26" x14ac:dyDescent="0.2">
      <c r="A93" s="118" t="str">
        <f>$A$13</f>
        <v>Vorsorgeeinrichtung eines Konzerns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9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20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21"/>
        <v>0</v>
      </c>
      <c r="Q93" s="136">
        <v>2</v>
      </c>
      <c r="R93" s="137">
        <v>4216</v>
      </c>
      <c r="S93" s="137">
        <v>1798</v>
      </c>
      <c r="T93" s="171">
        <v>1246.2570000000001</v>
      </c>
      <c r="U93" s="139">
        <f t="shared" si="22"/>
        <v>9.9460965694830698E-3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3"/>
        <v>0</v>
      </c>
    </row>
    <row r="94" spans="1:26" x14ac:dyDescent="0.2">
      <c r="A94" s="118" t="str">
        <f>$A$14</f>
        <v>Anderer Zusammenschluss mehrerer Arbeitgeber</v>
      </c>
      <c r="B94" s="36">
        <v>2</v>
      </c>
      <c r="C94" s="10">
        <v>885</v>
      </c>
      <c r="D94" s="10">
        <v>460</v>
      </c>
      <c r="E94" s="154">
        <v>247.04300000000001</v>
      </c>
      <c r="F94" s="37">
        <f t="shared" si="19"/>
        <v>1.8434652959820937E-3</v>
      </c>
      <c r="G94" s="53">
        <v>2</v>
      </c>
      <c r="H94" s="54">
        <v>859</v>
      </c>
      <c r="I94" s="54">
        <v>433</v>
      </c>
      <c r="J94" s="164">
        <v>237.22399999999999</v>
      </c>
      <c r="K94" s="56">
        <f t="shared" si="20"/>
        <v>1.8638347353145917E-3</v>
      </c>
      <c r="L94" s="136">
        <v>2</v>
      </c>
      <c r="M94" s="137">
        <v>849</v>
      </c>
      <c r="N94" s="137">
        <v>424</v>
      </c>
      <c r="O94" s="171">
        <v>231.446</v>
      </c>
      <c r="P94" s="139">
        <f t="shared" si="21"/>
        <v>1.9408793651221464E-3</v>
      </c>
      <c r="Q94" s="136">
        <v>4</v>
      </c>
      <c r="R94" s="137">
        <v>7730</v>
      </c>
      <c r="S94" s="137">
        <v>3250</v>
      </c>
      <c r="T94" s="171">
        <v>2025.8320000000001</v>
      </c>
      <c r="U94" s="139">
        <f t="shared" si="22"/>
        <v>1.6167709152726143E-2</v>
      </c>
      <c r="V94" s="136">
        <v>6</v>
      </c>
      <c r="W94" s="137">
        <v>10277</v>
      </c>
      <c r="X94" s="137">
        <v>4095</v>
      </c>
      <c r="Y94" s="171">
        <v>2651.8470000000002</v>
      </c>
      <c r="Z94" s="139">
        <f t="shared" si="23"/>
        <v>2.0589483116003018E-2</v>
      </c>
    </row>
    <row r="95" spans="1:26" x14ac:dyDescent="0.2">
      <c r="A95" s="118" t="str">
        <f>$A$15</f>
        <v>Gemeinschaftseinrichtung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9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20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21"/>
        <v>0</v>
      </c>
      <c r="Q95" s="136">
        <v>4</v>
      </c>
      <c r="R95" s="137">
        <v>62928</v>
      </c>
      <c r="S95" s="137">
        <v>29279</v>
      </c>
      <c r="T95" s="171">
        <v>25653.105</v>
      </c>
      <c r="U95" s="139">
        <f t="shared" si="22"/>
        <v>0.20473165618093936</v>
      </c>
      <c r="V95" s="136">
        <v>5</v>
      </c>
      <c r="W95" s="137">
        <v>69534</v>
      </c>
      <c r="X95" s="137">
        <v>31372</v>
      </c>
      <c r="Y95" s="171">
        <v>27319.094000000001</v>
      </c>
      <c r="Z95" s="139">
        <f t="shared" si="23"/>
        <v>0.21211103983657403</v>
      </c>
    </row>
    <row r="96" spans="1:26" x14ac:dyDescent="0.2">
      <c r="A96" s="118" t="str">
        <f>$A$16</f>
        <v>Sammeleinrichtung</v>
      </c>
      <c r="B96" s="36">
        <v>0</v>
      </c>
      <c r="C96" s="10">
        <v>0</v>
      </c>
      <c r="D96" s="10">
        <v>0</v>
      </c>
      <c r="E96" s="154">
        <v>0</v>
      </c>
      <c r="F96" s="37">
        <f t="shared" si="19"/>
        <v>0</v>
      </c>
      <c r="G96" s="53">
        <v>0</v>
      </c>
      <c r="H96" s="54">
        <v>0</v>
      </c>
      <c r="I96" s="54">
        <v>0</v>
      </c>
      <c r="J96" s="164">
        <v>0</v>
      </c>
      <c r="K96" s="56">
        <f t="shared" si="20"/>
        <v>0</v>
      </c>
      <c r="L96" s="136">
        <v>0</v>
      </c>
      <c r="M96" s="137">
        <v>0</v>
      </c>
      <c r="N96" s="137">
        <v>0</v>
      </c>
      <c r="O96" s="171">
        <v>0</v>
      </c>
      <c r="P96" s="139">
        <f t="shared" si="21"/>
        <v>0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22"/>
        <v>0</v>
      </c>
      <c r="V96" s="136">
        <v>0</v>
      </c>
      <c r="W96" s="137">
        <v>0</v>
      </c>
      <c r="X96" s="137">
        <v>0</v>
      </c>
      <c r="Y96" s="171">
        <v>0</v>
      </c>
      <c r="Z96" s="139">
        <f t="shared" si="23"/>
        <v>0</v>
      </c>
    </row>
    <row r="97" spans="1:26" ht="25.5" x14ac:dyDescent="0.2">
      <c r="A97" s="118" t="str">
        <f>$A$17</f>
        <v>Sammel-/Gemeinschaftseinrichtung öffentlich-rechtl. Arbeitgeber</v>
      </c>
      <c r="B97" s="36">
        <v>28</v>
      </c>
      <c r="C97" s="10">
        <v>322131</v>
      </c>
      <c r="D97" s="10">
        <v>154522</v>
      </c>
      <c r="E97" s="154">
        <v>133031.02600000001</v>
      </c>
      <c r="F97" s="37">
        <f t="shared" si="19"/>
        <v>0.99269390235664079</v>
      </c>
      <c r="G97" s="53">
        <v>29</v>
      </c>
      <c r="H97" s="54">
        <v>318521</v>
      </c>
      <c r="I97" s="54">
        <v>148486</v>
      </c>
      <c r="J97" s="164">
        <v>126322.213</v>
      </c>
      <c r="K97" s="56">
        <f t="shared" si="20"/>
        <v>0.99249539857353597</v>
      </c>
      <c r="L97" s="136">
        <v>28</v>
      </c>
      <c r="M97" s="137">
        <v>304965</v>
      </c>
      <c r="N97" s="137">
        <v>142273</v>
      </c>
      <c r="O97" s="171">
        <v>118323.374</v>
      </c>
      <c r="P97" s="139">
        <f t="shared" si="21"/>
        <v>0.99224611792050976</v>
      </c>
      <c r="Q97" s="136">
        <v>24</v>
      </c>
      <c r="R97" s="137">
        <v>236044</v>
      </c>
      <c r="S97" s="137">
        <v>105928</v>
      </c>
      <c r="T97" s="171">
        <v>84994.184999999998</v>
      </c>
      <c r="U97" s="139">
        <f t="shared" si="22"/>
        <v>0.67831945726644605</v>
      </c>
      <c r="V97" s="136">
        <v>32</v>
      </c>
      <c r="W97" s="137">
        <v>245882</v>
      </c>
      <c r="X97" s="137">
        <v>109398</v>
      </c>
      <c r="Y97" s="171">
        <v>86942.801000000007</v>
      </c>
      <c r="Z97" s="139">
        <f t="shared" si="23"/>
        <v>0.67504170989031809</v>
      </c>
    </row>
    <row r="98" spans="1:26" ht="12.75" hidden="1" customHeight="1" x14ac:dyDescent="0.2">
      <c r="A98" s="118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8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8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8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8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8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8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8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8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8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8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8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8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8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8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8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8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A115" s="119"/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4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Translation!$A$164</f>
        <v>Biometrische Grundlagen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Translation!$A165</f>
        <v>EVK 2000</v>
      </c>
      <c r="B12" s="30">
        <v>4</v>
      </c>
      <c r="C12" s="6">
        <v>355</v>
      </c>
      <c r="D12" s="6">
        <v>14</v>
      </c>
      <c r="E12" s="150">
        <v>62.265999999999998</v>
      </c>
      <c r="F12" s="31">
        <f t="shared" ref="F12:F25" si="0">E12/E$36</f>
        <v>6.8932627200162192E-5</v>
      </c>
      <c r="G12" s="41">
        <v>9</v>
      </c>
      <c r="H12" s="42">
        <v>685</v>
      </c>
      <c r="I12" s="42">
        <v>175</v>
      </c>
      <c r="J12" s="160">
        <v>182.755</v>
      </c>
      <c r="K12" s="44">
        <f t="shared" ref="K12:K25" si="1">J12/J$36</f>
        <v>2.1248971933973481E-4</v>
      </c>
      <c r="L12" s="76">
        <v>12</v>
      </c>
      <c r="M12" s="122">
        <v>1197</v>
      </c>
      <c r="N12" s="122">
        <v>357</v>
      </c>
      <c r="O12" s="167">
        <v>310.88400000000001</v>
      </c>
      <c r="P12" s="124">
        <f t="shared" ref="P12:P25" si="2">O12/O$36</f>
        <v>3.7763931996089641E-4</v>
      </c>
      <c r="Q12" s="76">
        <v>25</v>
      </c>
      <c r="R12" s="122">
        <v>28852</v>
      </c>
      <c r="S12" s="122">
        <v>10999</v>
      </c>
      <c r="T12" s="167">
        <v>8228.741</v>
      </c>
      <c r="U12" s="124">
        <f t="shared" ref="U12:U25" si="3">T12/T$36</f>
        <v>1.0234357688303854E-2</v>
      </c>
      <c r="V12" s="76">
        <v>52</v>
      </c>
      <c r="W12" s="122">
        <v>57925</v>
      </c>
      <c r="X12" s="122">
        <v>18927</v>
      </c>
      <c r="Y12" s="167">
        <v>17949.150000000001</v>
      </c>
      <c r="Z12" s="124">
        <f t="shared" ref="Z12:Z22" si="4">Y12/Y$36</f>
        <v>2.4078118696486826E-2</v>
      </c>
    </row>
    <row r="13" spans="1:26" x14ac:dyDescent="0.2">
      <c r="A13" s="114" t="str">
        <f>Translation!$A166</f>
        <v>BVG 2000</v>
      </c>
      <c r="B13" s="30">
        <v>5</v>
      </c>
      <c r="C13" s="6">
        <v>480</v>
      </c>
      <c r="D13" s="6">
        <v>260</v>
      </c>
      <c r="E13" s="150">
        <v>179.64500000000001</v>
      </c>
      <c r="F13" s="31">
        <f t="shared" si="0"/>
        <v>1.9887903211019076E-4</v>
      </c>
      <c r="G13" s="41">
        <v>5</v>
      </c>
      <c r="H13" s="42">
        <v>456</v>
      </c>
      <c r="I13" s="42">
        <v>257</v>
      </c>
      <c r="J13" s="160">
        <v>176.494</v>
      </c>
      <c r="K13" s="44">
        <f t="shared" si="1"/>
        <v>2.0521003816665565E-4</v>
      </c>
      <c r="L13" s="76">
        <v>4</v>
      </c>
      <c r="M13" s="122">
        <v>83</v>
      </c>
      <c r="N13" s="122">
        <v>55</v>
      </c>
      <c r="O13" s="167">
        <v>19.103999999999999</v>
      </c>
      <c r="P13" s="124">
        <f t="shared" si="2"/>
        <v>2.3206152676023741E-5</v>
      </c>
      <c r="Q13" s="76">
        <v>7</v>
      </c>
      <c r="R13" s="122">
        <v>454</v>
      </c>
      <c r="S13" s="122">
        <v>119</v>
      </c>
      <c r="T13" s="167">
        <v>70.396000000000001</v>
      </c>
      <c r="U13" s="124">
        <f t="shared" si="3"/>
        <v>8.7553836464878177E-5</v>
      </c>
      <c r="V13" s="76">
        <v>18</v>
      </c>
      <c r="W13" s="122">
        <v>12304</v>
      </c>
      <c r="X13" s="122">
        <v>6187</v>
      </c>
      <c r="Y13" s="167">
        <v>4961.5</v>
      </c>
      <c r="Z13" s="124">
        <f t="shared" si="4"/>
        <v>6.6556681465484097E-3</v>
      </c>
    </row>
    <row r="14" spans="1:26" x14ac:dyDescent="0.2">
      <c r="A14" s="114" t="str">
        <f>Translation!$A167</f>
        <v>BVG 2005</v>
      </c>
      <c r="B14" s="30">
        <v>1</v>
      </c>
      <c r="C14" s="6">
        <v>58</v>
      </c>
      <c r="D14" s="6">
        <v>5</v>
      </c>
      <c r="E14" s="150">
        <v>8.5559999999999992</v>
      </c>
      <c r="F14" s="31">
        <f t="shared" si="0"/>
        <v>9.4720643420901886E-6</v>
      </c>
      <c r="G14" s="41">
        <v>5</v>
      </c>
      <c r="H14" s="42">
        <v>6183</v>
      </c>
      <c r="I14" s="42">
        <v>2752</v>
      </c>
      <c r="J14" s="160">
        <v>3913.0930000000003</v>
      </c>
      <c r="K14" s="44">
        <f t="shared" si="1"/>
        <v>4.5497635266902739E-3</v>
      </c>
      <c r="L14" s="76">
        <v>13</v>
      </c>
      <c r="M14" s="122">
        <v>6881</v>
      </c>
      <c r="N14" s="122">
        <v>3023</v>
      </c>
      <c r="O14" s="167">
        <v>3888.7179999999998</v>
      </c>
      <c r="P14" s="124">
        <f t="shared" si="2"/>
        <v>4.7237323922739577E-3</v>
      </c>
      <c r="Q14" s="76">
        <v>25</v>
      </c>
      <c r="R14" s="122">
        <v>15860</v>
      </c>
      <c r="S14" s="122">
        <v>4046</v>
      </c>
      <c r="T14" s="167">
        <v>5522.8419999999996</v>
      </c>
      <c r="U14" s="124">
        <f t="shared" si="3"/>
        <v>6.8689414922632058E-3</v>
      </c>
      <c r="V14" s="76">
        <v>41</v>
      </c>
      <c r="W14" s="122">
        <v>26894</v>
      </c>
      <c r="X14" s="122">
        <v>10804</v>
      </c>
      <c r="Y14" s="167">
        <v>10167.562</v>
      </c>
      <c r="Z14" s="124">
        <f t="shared" si="4"/>
        <v>1.3639407141279055E-2</v>
      </c>
    </row>
    <row r="15" spans="1:26" x14ac:dyDescent="0.2">
      <c r="A15" s="114" t="str">
        <f>Translation!$A168</f>
        <v>BVG 2010</v>
      </c>
      <c r="B15" s="30">
        <v>132</v>
      </c>
      <c r="C15" s="6">
        <v>412628</v>
      </c>
      <c r="D15" s="6">
        <v>115089</v>
      </c>
      <c r="E15" s="150">
        <v>110751.85</v>
      </c>
      <c r="F15" s="31">
        <f t="shared" si="0"/>
        <v>0.12260970654575987</v>
      </c>
      <c r="G15" s="41">
        <v>369</v>
      </c>
      <c r="H15" s="42">
        <v>840921</v>
      </c>
      <c r="I15" s="42">
        <v>187823</v>
      </c>
      <c r="J15" s="160">
        <v>168726.709</v>
      </c>
      <c r="K15" s="44">
        <f t="shared" si="1"/>
        <v>0.1961789884847315</v>
      </c>
      <c r="L15" s="76">
        <v>1090</v>
      </c>
      <c r="M15" s="122">
        <v>1943373</v>
      </c>
      <c r="N15" s="122">
        <v>541083</v>
      </c>
      <c r="O15" s="167">
        <v>434800.08200000005</v>
      </c>
      <c r="P15" s="124">
        <f t="shared" si="2"/>
        <v>0.52816358283289588</v>
      </c>
      <c r="Q15" s="76">
        <v>1255</v>
      </c>
      <c r="R15" s="122">
        <v>2140590</v>
      </c>
      <c r="S15" s="122">
        <v>624479</v>
      </c>
      <c r="T15" s="167">
        <v>492423.386</v>
      </c>
      <c r="U15" s="124">
        <f t="shared" si="3"/>
        <v>0.61244327247749275</v>
      </c>
      <c r="V15" s="76">
        <v>1262</v>
      </c>
      <c r="W15" s="122">
        <v>1910097</v>
      </c>
      <c r="X15" s="122">
        <v>577789</v>
      </c>
      <c r="Y15" s="167">
        <v>466244.05500000005</v>
      </c>
      <c r="Z15" s="124">
        <f t="shared" si="4"/>
        <v>0.62544909913958779</v>
      </c>
    </row>
    <row r="16" spans="1:26" x14ac:dyDescent="0.2">
      <c r="A16" s="114" t="str">
        <f>Translation!$A169</f>
        <v>BVG 2015</v>
      </c>
      <c r="B16" s="30">
        <v>1069</v>
      </c>
      <c r="C16" s="6">
        <v>2113624</v>
      </c>
      <c r="D16" s="6">
        <v>550204</v>
      </c>
      <c r="E16" s="150">
        <v>465622.88200000004</v>
      </c>
      <c r="F16" s="31">
        <f t="shared" si="0"/>
        <v>0.51547567758923196</v>
      </c>
      <c r="G16" s="41">
        <v>835</v>
      </c>
      <c r="H16" s="42">
        <v>1482941</v>
      </c>
      <c r="I16" s="42">
        <v>459883</v>
      </c>
      <c r="J16" s="160">
        <v>371451.56400000001</v>
      </c>
      <c r="K16" s="44">
        <f t="shared" si="1"/>
        <v>0.43188771077489285</v>
      </c>
      <c r="L16" s="76">
        <v>133</v>
      </c>
      <c r="M16" s="122">
        <v>264609</v>
      </c>
      <c r="N16" s="122">
        <v>92083</v>
      </c>
      <c r="O16" s="167">
        <v>72731.745999999999</v>
      </c>
      <c r="P16" s="124">
        <f t="shared" si="2"/>
        <v>8.8349246339498491E-2</v>
      </c>
      <c r="Q16" s="76">
        <v>0</v>
      </c>
      <c r="R16" s="122">
        <v>0</v>
      </c>
      <c r="S16" s="122">
        <v>0</v>
      </c>
      <c r="T16" s="167">
        <v>0</v>
      </c>
      <c r="U16" s="124">
        <f t="shared" si="3"/>
        <v>0</v>
      </c>
      <c r="V16" s="76">
        <v>0</v>
      </c>
      <c r="W16" s="122">
        <v>0</v>
      </c>
      <c r="X16" s="122">
        <v>0</v>
      </c>
      <c r="Y16" s="167">
        <v>0</v>
      </c>
      <c r="Z16" s="124">
        <f t="shared" si="4"/>
        <v>0</v>
      </c>
    </row>
    <row r="17" spans="1:26" ht="12.75" customHeight="1" x14ac:dyDescent="0.2">
      <c r="A17" s="110" t="str">
        <f>Translation!$A170</f>
        <v>VZ 1990</v>
      </c>
      <c r="B17" s="30">
        <v>0</v>
      </c>
      <c r="C17" s="6">
        <v>0</v>
      </c>
      <c r="D17" s="6">
        <v>0</v>
      </c>
      <c r="E17" s="150">
        <v>0</v>
      </c>
      <c r="F17" s="31">
        <f t="shared" si="0"/>
        <v>0</v>
      </c>
      <c r="G17" s="41">
        <v>0</v>
      </c>
      <c r="H17" s="42">
        <v>0</v>
      </c>
      <c r="I17" s="42">
        <v>0</v>
      </c>
      <c r="J17" s="160">
        <v>0</v>
      </c>
      <c r="K17" s="44">
        <f t="shared" si="1"/>
        <v>0</v>
      </c>
      <c r="L17" s="76">
        <v>0</v>
      </c>
      <c r="M17" s="122">
        <v>0</v>
      </c>
      <c r="N17" s="122">
        <v>0</v>
      </c>
      <c r="O17" s="167">
        <v>0</v>
      </c>
      <c r="P17" s="124">
        <f t="shared" si="2"/>
        <v>0</v>
      </c>
      <c r="Q17" s="76">
        <v>0</v>
      </c>
      <c r="R17" s="122">
        <v>0</v>
      </c>
      <c r="S17" s="122">
        <v>0</v>
      </c>
      <c r="T17" s="167">
        <v>0</v>
      </c>
      <c r="U17" s="124">
        <f t="shared" si="3"/>
        <v>0</v>
      </c>
      <c r="V17" s="76">
        <v>1</v>
      </c>
      <c r="W17" s="122">
        <v>9</v>
      </c>
      <c r="X17" s="122">
        <v>0</v>
      </c>
      <c r="Y17" s="167">
        <v>0.28199999999999997</v>
      </c>
      <c r="Z17" s="124">
        <f t="shared" si="4"/>
        <v>3.7829253599247228E-7</v>
      </c>
    </row>
    <row r="18" spans="1:26" ht="12.75" customHeight="1" x14ac:dyDescent="0.2">
      <c r="A18" s="110" t="str">
        <f>Translation!$A171</f>
        <v>VZ 2000</v>
      </c>
      <c r="B18" s="30">
        <v>0</v>
      </c>
      <c r="C18" s="6">
        <v>0</v>
      </c>
      <c r="D18" s="6">
        <v>0</v>
      </c>
      <c r="E18" s="150">
        <v>0</v>
      </c>
      <c r="F18" s="31">
        <f t="shared" si="0"/>
        <v>0</v>
      </c>
      <c r="G18" s="41">
        <v>0</v>
      </c>
      <c r="H18" s="42">
        <v>0</v>
      </c>
      <c r="I18" s="42">
        <v>0</v>
      </c>
      <c r="J18" s="160">
        <v>0</v>
      </c>
      <c r="K18" s="44">
        <f t="shared" si="1"/>
        <v>0</v>
      </c>
      <c r="L18" s="76">
        <v>0</v>
      </c>
      <c r="M18" s="122">
        <v>0</v>
      </c>
      <c r="N18" s="122">
        <v>0</v>
      </c>
      <c r="O18" s="167">
        <v>0</v>
      </c>
      <c r="P18" s="124">
        <f t="shared" si="2"/>
        <v>0</v>
      </c>
      <c r="Q18" s="76">
        <v>0</v>
      </c>
      <c r="R18" s="122">
        <v>0</v>
      </c>
      <c r="S18" s="122">
        <v>0</v>
      </c>
      <c r="T18" s="167">
        <v>0</v>
      </c>
      <c r="U18" s="124">
        <f t="shared" si="3"/>
        <v>0</v>
      </c>
      <c r="V18" s="76">
        <v>4</v>
      </c>
      <c r="W18" s="122">
        <v>8440</v>
      </c>
      <c r="X18" s="122">
        <v>5004</v>
      </c>
      <c r="Y18" s="167">
        <v>3945.181</v>
      </c>
      <c r="Z18" s="124">
        <f t="shared" si="4"/>
        <v>5.2923139199975815E-3</v>
      </c>
    </row>
    <row r="19" spans="1:26" ht="12.75" customHeight="1" x14ac:dyDescent="0.2">
      <c r="A19" s="110" t="str">
        <f>Translation!$A172</f>
        <v>VZ 2005</v>
      </c>
      <c r="B19" s="30">
        <v>1</v>
      </c>
      <c r="C19" s="6">
        <v>11</v>
      </c>
      <c r="D19" s="6">
        <v>25</v>
      </c>
      <c r="E19" s="150">
        <v>59.777000000000001</v>
      </c>
      <c r="F19" s="31">
        <f t="shared" si="0"/>
        <v>6.6177137701861293E-5</v>
      </c>
      <c r="G19" s="41">
        <v>5</v>
      </c>
      <c r="H19" s="42">
        <v>268</v>
      </c>
      <c r="I19" s="42">
        <v>374</v>
      </c>
      <c r="J19" s="160">
        <v>280.80400000000003</v>
      </c>
      <c r="K19" s="44">
        <f t="shared" si="1"/>
        <v>3.2649154961273232E-4</v>
      </c>
      <c r="L19" s="76">
        <v>16</v>
      </c>
      <c r="M19" s="122">
        <v>3168</v>
      </c>
      <c r="N19" s="122">
        <v>1208</v>
      </c>
      <c r="O19" s="167">
        <v>717.64300000000003</v>
      </c>
      <c r="P19" s="124">
        <f t="shared" si="2"/>
        <v>8.717406315368356E-4</v>
      </c>
      <c r="Q19" s="76">
        <v>22</v>
      </c>
      <c r="R19" s="122">
        <v>7167</v>
      </c>
      <c r="S19" s="122">
        <v>1436</v>
      </c>
      <c r="T19" s="167">
        <v>1278.5240000000001</v>
      </c>
      <c r="U19" s="124">
        <f t="shared" si="3"/>
        <v>1.5901426389627524E-3</v>
      </c>
      <c r="V19" s="76">
        <v>35</v>
      </c>
      <c r="W19" s="122">
        <v>37938</v>
      </c>
      <c r="X19" s="122">
        <v>12586</v>
      </c>
      <c r="Y19" s="167">
        <v>10621.189</v>
      </c>
      <c r="Z19" s="124">
        <f t="shared" si="4"/>
        <v>1.4247930929309757E-2</v>
      </c>
    </row>
    <row r="20" spans="1:26" ht="12.75" customHeight="1" x14ac:dyDescent="0.2">
      <c r="A20" s="110" t="str">
        <f>Translation!$A173</f>
        <v>VZ 2010</v>
      </c>
      <c r="B20" s="30">
        <v>28</v>
      </c>
      <c r="C20" s="6">
        <v>172866</v>
      </c>
      <c r="D20" s="6">
        <v>76040</v>
      </c>
      <c r="E20" s="150">
        <v>66879.744999999995</v>
      </c>
      <c r="F20" s="31">
        <f t="shared" si="0"/>
        <v>7.4040351545416619E-2</v>
      </c>
      <c r="G20" s="41">
        <v>98</v>
      </c>
      <c r="H20" s="42">
        <v>491659</v>
      </c>
      <c r="I20" s="42">
        <v>205526</v>
      </c>
      <c r="J20" s="160">
        <v>176570.03899999999</v>
      </c>
      <c r="K20" s="44">
        <f t="shared" si="1"/>
        <v>0.20529844891201898</v>
      </c>
      <c r="L20" s="76">
        <v>136</v>
      </c>
      <c r="M20" s="122">
        <v>537062</v>
      </c>
      <c r="N20" s="122">
        <v>228942</v>
      </c>
      <c r="O20" s="167">
        <v>192350.75599999999</v>
      </c>
      <c r="P20" s="124">
        <f t="shared" si="2"/>
        <v>0.23365373801740943</v>
      </c>
      <c r="Q20" s="76">
        <v>147</v>
      </c>
      <c r="R20" s="122">
        <v>505844</v>
      </c>
      <c r="S20" s="122">
        <v>213270</v>
      </c>
      <c r="T20" s="167">
        <v>177122.13699999999</v>
      </c>
      <c r="U20" s="124">
        <f t="shared" si="3"/>
        <v>0.22029266744144194</v>
      </c>
      <c r="V20" s="76">
        <v>145</v>
      </c>
      <c r="W20" s="122">
        <v>456321</v>
      </c>
      <c r="X20" s="122">
        <v>193537</v>
      </c>
      <c r="Y20" s="167">
        <v>155034.18700000001</v>
      </c>
      <c r="Z20" s="124">
        <f t="shared" si="4"/>
        <v>0.20797260909844392</v>
      </c>
    </row>
    <row r="21" spans="1:26" ht="12.75" customHeight="1" x14ac:dyDescent="0.2">
      <c r="A21" s="110" t="s">
        <v>599</v>
      </c>
      <c r="B21" s="30">
        <v>100</v>
      </c>
      <c r="C21" s="6">
        <v>402493</v>
      </c>
      <c r="D21" s="6">
        <v>175639</v>
      </c>
      <c r="E21" s="150">
        <v>153771.97700000001</v>
      </c>
      <c r="F21" s="31">
        <f t="shared" si="0"/>
        <v>0.1702358649081829</v>
      </c>
      <c r="G21" s="41">
        <v>36</v>
      </c>
      <c r="H21" s="42">
        <v>58929</v>
      </c>
      <c r="I21" s="42">
        <v>31430</v>
      </c>
      <c r="J21" s="160">
        <v>25747.673000000003</v>
      </c>
      <c r="K21" s="44">
        <f t="shared" si="1"/>
        <v>2.9936887140823879E-2</v>
      </c>
      <c r="L21" s="76">
        <v>0</v>
      </c>
      <c r="M21" s="122">
        <v>0</v>
      </c>
      <c r="N21" s="122">
        <v>0</v>
      </c>
      <c r="O21" s="167">
        <v>0</v>
      </c>
      <c r="P21" s="124">
        <f t="shared" si="2"/>
        <v>0</v>
      </c>
      <c r="Q21" s="76">
        <v>0</v>
      </c>
      <c r="R21" s="122">
        <v>0</v>
      </c>
      <c r="S21" s="122">
        <v>0</v>
      </c>
      <c r="T21" s="167">
        <v>0</v>
      </c>
      <c r="U21" s="124">
        <f t="shared" si="3"/>
        <v>0</v>
      </c>
      <c r="V21" s="76">
        <v>0</v>
      </c>
      <c r="W21" s="122">
        <v>0</v>
      </c>
      <c r="X21" s="122">
        <v>0</v>
      </c>
      <c r="Y21" s="167">
        <v>0</v>
      </c>
      <c r="Z21" s="124">
        <f t="shared" si="4"/>
        <v>0</v>
      </c>
    </row>
    <row r="22" spans="1:26" ht="12.75" customHeight="1" x14ac:dyDescent="0.2">
      <c r="A22" s="110" t="str">
        <f>Translation!$A174</f>
        <v>Andere</v>
      </c>
      <c r="B22" s="30">
        <v>5</v>
      </c>
      <c r="C22" s="6">
        <v>592</v>
      </c>
      <c r="D22" s="6">
        <v>39</v>
      </c>
      <c r="E22" s="150">
        <v>12.487</v>
      </c>
      <c r="F22" s="31">
        <f t="shared" si="0"/>
        <v>1.3823944301037892E-5</v>
      </c>
      <c r="G22" s="41">
        <v>16</v>
      </c>
      <c r="H22" s="42">
        <v>9902</v>
      </c>
      <c r="I22" s="42">
        <v>551</v>
      </c>
      <c r="J22" s="160">
        <v>1563.3489999999999</v>
      </c>
      <c r="K22" s="44">
        <f t="shared" si="1"/>
        <v>1.8177099955681379E-3</v>
      </c>
      <c r="L22" s="182">
        <v>9</v>
      </c>
      <c r="M22" s="122">
        <v>3210</v>
      </c>
      <c r="N22" s="122">
        <v>653</v>
      </c>
      <c r="O22" s="167">
        <v>514.971</v>
      </c>
      <c r="P22" s="124">
        <f t="shared" si="2"/>
        <v>6.2554939540015824E-4</v>
      </c>
      <c r="Q22" s="182">
        <v>6</v>
      </c>
      <c r="R22" s="122">
        <v>636</v>
      </c>
      <c r="S22" s="122">
        <v>26</v>
      </c>
      <c r="T22" s="167">
        <v>12.346</v>
      </c>
      <c r="U22" s="124">
        <f t="shared" si="3"/>
        <v>1.5355129055562618E-5</v>
      </c>
      <c r="V22" s="182">
        <v>12</v>
      </c>
      <c r="W22" s="122">
        <v>79840</v>
      </c>
      <c r="X22" s="122">
        <v>7284</v>
      </c>
      <c r="Y22" s="167">
        <v>8203.6959999999999</v>
      </c>
      <c r="Z22" s="124">
        <f t="shared" si="4"/>
        <v>1.1004953774295395E-2</v>
      </c>
    </row>
    <row r="23" spans="1:26" ht="12.75" customHeight="1" x14ac:dyDescent="0.2">
      <c r="A23" s="110" t="str">
        <f>Translation!$A175</f>
        <v>Keine (Versicherungsvertrag)</v>
      </c>
      <c r="B23" s="30">
        <v>196</v>
      </c>
      <c r="C23" s="6">
        <v>1053493</v>
      </c>
      <c r="D23" s="6">
        <v>119</v>
      </c>
      <c r="E23" s="150">
        <v>103689.288</v>
      </c>
      <c r="F23" s="31">
        <f t="shared" si="0"/>
        <v>0.11479097797119217</v>
      </c>
      <c r="G23" s="176">
        <v>189</v>
      </c>
      <c r="H23" s="177">
        <v>1139836</v>
      </c>
      <c r="I23" s="177">
        <v>0</v>
      </c>
      <c r="J23" s="160">
        <v>109295.16899999999</v>
      </c>
      <c r="K23" s="44">
        <f t="shared" si="1"/>
        <v>0.12707778055866534</v>
      </c>
      <c r="L23" s="214">
        <v>211</v>
      </c>
      <c r="M23" s="215">
        <v>1256422</v>
      </c>
      <c r="N23" s="215">
        <v>11099</v>
      </c>
      <c r="O23" s="215">
        <v>115380.879</v>
      </c>
      <c r="P23" s="216">
        <f t="shared" si="2"/>
        <v>0.14015631773282147</v>
      </c>
      <c r="Q23" s="214">
        <v>221</v>
      </c>
      <c r="R23" s="215">
        <v>1279794</v>
      </c>
      <c r="S23" s="215">
        <v>14187</v>
      </c>
      <c r="T23" s="215">
        <v>116530.534</v>
      </c>
      <c r="U23" s="216">
        <f t="shared" si="3"/>
        <v>0.14493288421218428</v>
      </c>
      <c r="V23" s="214" t="str">
        <f>Translation!$A$447</f>
        <v>nicht separat erhoben</v>
      </c>
      <c r="W23" s="215"/>
      <c r="X23" s="215"/>
      <c r="Y23" s="215"/>
      <c r="Z23" s="216"/>
    </row>
    <row r="24" spans="1:26" ht="12.75" customHeight="1" x14ac:dyDescent="0.2">
      <c r="A24" s="110" t="str">
        <f>Translation!$A176</f>
        <v>Keine (temporäre Leistungen)</v>
      </c>
      <c r="B24" s="30">
        <v>12</v>
      </c>
      <c r="C24" s="6">
        <v>2054</v>
      </c>
      <c r="D24" s="6">
        <v>57</v>
      </c>
      <c r="E24" s="150">
        <v>280.31799999999998</v>
      </c>
      <c r="F24" s="31">
        <f t="shared" si="0"/>
        <v>3.1033077749486178E-4</v>
      </c>
      <c r="G24" s="176">
        <v>11</v>
      </c>
      <c r="H24" s="177">
        <v>2029</v>
      </c>
      <c r="I24" s="177">
        <v>54</v>
      </c>
      <c r="J24" s="160">
        <v>289.40899999999999</v>
      </c>
      <c r="K24" s="44">
        <f t="shared" si="1"/>
        <v>3.3649660575302075E-4</v>
      </c>
      <c r="L24" s="214">
        <v>14</v>
      </c>
      <c r="M24" s="215">
        <v>1780</v>
      </c>
      <c r="N24" s="215">
        <v>98</v>
      </c>
      <c r="O24" s="215">
        <v>256.67200000000003</v>
      </c>
      <c r="P24" s="216">
        <f t="shared" si="2"/>
        <v>3.1178651694202086E-4</v>
      </c>
      <c r="Q24" s="214">
        <v>15</v>
      </c>
      <c r="R24" s="215">
        <v>3931</v>
      </c>
      <c r="S24" s="215">
        <v>256</v>
      </c>
      <c r="T24" s="215">
        <v>403.84300000000002</v>
      </c>
      <c r="U24" s="216">
        <f t="shared" si="3"/>
        <v>5.0227291294229501E-4</v>
      </c>
      <c r="V24" s="214" t="str">
        <f>Translation!$A$447</f>
        <v>nicht separat erhoben</v>
      </c>
      <c r="W24" s="215"/>
      <c r="X24" s="215"/>
      <c r="Y24" s="215"/>
      <c r="Z24" s="216"/>
    </row>
    <row r="25" spans="1:26" ht="12.75" customHeight="1" x14ac:dyDescent="0.2">
      <c r="A25" s="110" t="str">
        <f>Translation!$A177</f>
        <v>Keine (Kapitalleistungen)</v>
      </c>
      <c r="B25" s="30">
        <v>101</v>
      </c>
      <c r="C25" s="6">
        <v>17258</v>
      </c>
      <c r="D25" s="6">
        <v>0</v>
      </c>
      <c r="E25" s="150">
        <v>1968.992</v>
      </c>
      <c r="F25" s="31">
        <f t="shared" si="0"/>
        <v>2.179805857066485E-3</v>
      </c>
      <c r="G25" s="41">
        <v>104</v>
      </c>
      <c r="H25" s="42">
        <v>16285</v>
      </c>
      <c r="I25" s="42">
        <v>0</v>
      </c>
      <c r="J25" s="160">
        <v>1868.0809999999999</v>
      </c>
      <c r="K25" s="44">
        <f t="shared" si="1"/>
        <v>2.1720226937369217E-3</v>
      </c>
      <c r="L25" s="76">
        <v>105</v>
      </c>
      <c r="M25" s="122">
        <v>20370</v>
      </c>
      <c r="N25" s="122">
        <v>0</v>
      </c>
      <c r="O25" s="167">
        <v>2258.4989999999998</v>
      </c>
      <c r="P25" s="124">
        <f t="shared" si="2"/>
        <v>2.7434606685849531E-3</v>
      </c>
      <c r="Q25" s="76">
        <v>122</v>
      </c>
      <c r="R25" s="122">
        <v>20909</v>
      </c>
      <c r="S25" s="122">
        <v>0</v>
      </c>
      <c r="T25" s="167">
        <v>2438.2660000000001</v>
      </c>
      <c r="U25" s="124">
        <f t="shared" si="3"/>
        <v>3.0325521708885824E-3</v>
      </c>
      <c r="V25" s="76">
        <v>335</v>
      </c>
      <c r="W25" s="122">
        <v>1342980</v>
      </c>
      <c r="X25" s="122">
        <v>111214</v>
      </c>
      <c r="Y25" s="167">
        <v>68328.032999999996</v>
      </c>
      <c r="Z25" s="124">
        <f>Y25/Y$36</f>
        <v>9.1659520861515367E-2</v>
      </c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F36" si="5">SUM(B$12:B$35)</f>
        <v>1654</v>
      </c>
      <c r="C36" s="7">
        <f t="shared" si="5"/>
        <v>4175912</v>
      </c>
      <c r="D36" s="7">
        <f t="shared" si="5"/>
        <v>917491</v>
      </c>
      <c r="E36" s="151">
        <f t="shared" si="5"/>
        <v>903287.78299999994</v>
      </c>
      <c r="F36" s="64">
        <f t="shared" si="5"/>
        <v>1.0000000000000002</v>
      </c>
      <c r="G36" s="45">
        <f t="shared" ref="G36:Z36" si="6">SUM(G$12:G$35)</f>
        <v>1682</v>
      </c>
      <c r="H36" s="65">
        <f t="shared" si="6"/>
        <v>4050094</v>
      </c>
      <c r="I36" s="65">
        <f t="shared" si="6"/>
        <v>888825</v>
      </c>
      <c r="J36" s="161">
        <f t="shared" si="6"/>
        <v>860065.13899999997</v>
      </c>
      <c r="K36" s="66">
        <f t="shared" si="6"/>
        <v>1</v>
      </c>
      <c r="L36" s="77">
        <f t="shared" si="6"/>
        <v>1743</v>
      </c>
      <c r="M36" s="125">
        <f t="shared" si="6"/>
        <v>4038155</v>
      </c>
      <c r="N36" s="125">
        <f t="shared" si="6"/>
        <v>878601</v>
      </c>
      <c r="O36" s="168">
        <f t="shared" si="6"/>
        <v>823229.95399999991</v>
      </c>
      <c r="P36" s="127">
        <f t="shared" si="6"/>
        <v>1</v>
      </c>
      <c r="Q36" s="77">
        <f t="shared" si="6"/>
        <v>1845</v>
      </c>
      <c r="R36" s="125">
        <f t="shared" si="6"/>
        <v>4004037</v>
      </c>
      <c r="S36" s="125">
        <f t="shared" si="6"/>
        <v>868818</v>
      </c>
      <c r="T36" s="168">
        <f t="shared" si="6"/>
        <v>804031.0149999999</v>
      </c>
      <c r="U36" s="127">
        <f t="shared" si="6"/>
        <v>1</v>
      </c>
      <c r="V36" s="77">
        <f t="shared" si="6"/>
        <v>1905</v>
      </c>
      <c r="W36" s="125">
        <f t="shared" si="6"/>
        <v>3932748</v>
      </c>
      <c r="X36" s="125">
        <f t="shared" si="6"/>
        <v>943332</v>
      </c>
      <c r="Y36" s="168">
        <f t="shared" si="6"/>
        <v>745454.83499999996</v>
      </c>
      <c r="Z36" s="127">
        <f t="shared" si="6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EVK 2000</v>
      </c>
      <c r="B52" s="33">
        <v>4</v>
      </c>
      <c r="C52" s="8">
        <v>355</v>
      </c>
      <c r="D52" s="8">
        <v>14</v>
      </c>
      <c r="E52" s="152">
        <v>62.265999999999998</v>
      </c>
      <c r="F52" s="34">
        <f t="shared" ref="F52:F65" si="7">E52/E$76</f>
        <v>8.0940865375389709E-5</v>
      </c>
      <c r="G52" s="47">
        <v>9</v>
      </c>
      <c r="H52" s="48">
        <v>685</v>
      </c>
      <c r="I52" s="48">
        <v>175</v>
      </c>
      <c r="J52" s="162">
        <v>182.755</v>
      </c>
      <c r="K52" s="50">
        <f t="shared" ref="K52:K65" si="8">J52/J$76</f>
        <v>2.4939690586534908E-4</v>
      </c>
      <c r="L52" s="128">
        <v>12</v>
      </c>
      <c r="M52" s="129">
        <v>1197</v>
      </c>
      <c r="N52" s="129">
        <v>357</v>
      </c>
      <c r="O52" s="169">
        <v>310.88400000000001</v>
      </c>
      <c r="P52" s="131">
        <f t="shared" ref="P52:P65" si="9">O52/O$76</f>
        <v>4.416079165212113E-4</v>
      </c>
      <c r="Q52" s="128">
        <v>23</v>
      </c>
      <c r="R52" s="129">
        <v>1840</v>
      </c>
      <c r="S52" s="129">
        <v>494</v>
      </c>
      <c r="T52" s="169">
        <v>414.77100000000002</v>
      </c>
      <c r="U52" s="131">
        <f t="shared" ref="U52:U65" si="10">T52/T$76</f>
        <v>6.1109876051003323E-4</v>
      </c>
      <c r="V52" s="128">
        <v>48</v>
      </c>
      <c r="W52" s="129">
        <v>28752</v>
      </c>
      <c r="X52" s="129">
        <v>8900</v>
      </c>
      <c r="Y52" s="169">
        <v>9764.4410000000007</v>
      </c>
      <c r="Z52" s="131">
        <f t="shared" ref="Z52:Z62" si="11">Y52/Y$76</f>
        <v>1.5834434650363875E-2</v>
      </c>
    </row>
    <row r="53" spans="1:26" x14ac:dyDescent="0.2">
      <c r="A53" s="114" t="str">
        <f>$A$13</f>
        <v>BVG 2000</v>
      </c>
      <c r="B53" s="33">
        <v>5</v>
      </c>
      <c r="C53" s="8">
        <v>480</v>
      </c>
      <c r="D53" s="8">
        <v>260</v>
      </c>
      <c r="E53" s="152">
        <v>179.64500000000001</v>
      </c>
      <c r="F53" s="34">
        <f t="shared" si="7"/>
        <v>2.3352426300648644E-4</v>
      </c>
      <c r="G53" s="47">
        <v>5</v>
      </c>
      <c r="H53" s="48">
        <v>456</v>
      </c>
      <c r="I53" s="48">
        <v>257</v>
      </c>
      <c r="J53" s="162">
        <v>176.494</v>
      </c>
      <c r="K53" s="50">
        <f t="shared" si="8"/>
        <v>2.4085282210499804E-4</v>
      </c>
      <c r="L53" s="128">
        <v>4</v>
      </c>
      <c r="M53" s="129">
        <v>83</v>
      </c>
      <c r="N53" s="129">
        <v>55</v>
      </c>
      <c r="O53" s="169">
        <v>19.103999999999999</v>
      </c>
      <c r="P53" s="131">
        <f t="shared" si="9"/>
        <v>2.7137059601720323E-5</v>
      </c>
      <c r="Q53" s="128">
        <v>7</v>
      </c>
      <c r="R53" s="129">
        <v>454</v>
      </c>
      <c r="S53" s="129">
        <v>119</v>
      </c>
      <c r="T53" s="169">
        <v>70.396000000000001</v>
      </c>
      <c r="U53" s="131">
        <f t="shared" si="10"/>
        <v>1.0371725203754433E-4</v>
      </c>
      <c r="V53" s="128">
        <v>18</v>
      </c>
      <c r="W53" s="129">
        <v>12304</v>
      </c>
      <c r="X53" s="129">
        <v>6187</v>
      </c>
      <c r="Y53" s="169">
        <v>4961.5</v>
      </c>
      <c r="Z53" s="131">
        <f t="shared" si="11"/>
        <v>8.0457803491034829E-3</v>
      </c>
    </row>
    <row r="54" spans="1:26" x14ac:dyDescent="0.2">
      <c r="A54" s="114" t="str">
        <f>$A$14</f>
        <v>BVG 2005</v>
      </c>
      <c r="B54" s="33">
        <v>1</v>
      </c>
      <c r="C54" s="8">
        <v>58</v>
      </c>
      <c r="D54" s="8">
        <v>5</v>
      </c>
      <c r="E54" s="152">
        <v>8.5559999999999992</v>
      </c>
      <c r="F54" s="34">
        <f t="shared" si="7"/>
        <v>1.1122121930938783E-5</v>
      </c>
      <c r="G54" s="47">
        <v>4</v>
      </c>
      <c r="H54" s="48">
        <v>6122</v>
      </c>
      <c r="I54" s="48">
        <v>2722</v>
      </c>
      <c r="J54" s="162">
        <v>3906.4290000000001</v>
      </c>
      <c r="K54" s="50">
        <f t="shared" si="8"/>
        <v>5.3309146430065915E-3</v>
      </c>
      <c r="L54" s="128">
        <v>12</v>
      </c>
      <c r="M54" s="129">
        <v>6817</v>
      </c>
      <c r="N54" s="129">
        <v>3001</v>
      </c>
      <c r="O54" s="169">
        <v>3882.2280000000001</v>
      </c>
      <c r="P54" s="131">
        <f t="shared" si="9"/>
        <v>5.5146698400056265E-3</v>
      </c>
      <c r="Q54" s="128">
        <v>25</v>
      </c>
      <c r="R54" s="129">
        <v>15860</v>
      </c>
      <c r="S54" s="129">
        <v>4046</v>
      </c>
      <c r="T54" s="169">
        <v>5522.8419999999996</v>
      </c>
      <c r="U54" s="131">
        <f t="shared" si="10"/>
        <v>8.13702476955417E-3</v>
      </c>
      <c r="V54" s="128">
        <v>41</v>
      </c>
      <c r="W54" s="129">
        <v>26894</v>
      </c>
      <c r="X54" s="129">
        <v>10804</v>
      </c>
      <c r="Y54" s="169">
        <v>10167.562</v>
      </c>
      <c r="Z54" s="131">
        <f t="shared" si="11"/>
        <v>1.6488152884791153E-2</v>
      </c>
    </row>
    <row r="55" spans="1:26" x14ac:dyDescent="0.2">
      <c r="A55" s="114" t="str">
        <f>$A$15</f>
        <v>BVG 2010</v>
      </c>
      <c r="B55" s="33">
        <v>129</v>
      </c>
      <c r="C55" s="8">
        <v>387745</v>
      </c>
      <c r="D55" s="8">
        <v>102233</v>
      </c>
      <c r="E55" s="152">
        <v>102389.564</v>
      </c>
      <c r="F55" s="34">
        <f t="shared" si="7"/>
        <v>0.1330983187545185</v>
      </c>
      <c r="G55" s="47">
        <v>364</v>
      </c>
      <c r="H55" s="48">
        <v>792274</v>
      </c>
      <c r="I55" s="48">
        <v>163251</v>
      </c>
      <c r="J55" s="162">
        <v>149728.158</v>
      </c>
      <c r="K55" s="50">
        <f t="shared" si="8"/>
        <v>0.20432677259783924</v>
      </c>
      <c r="L55" s="128">
        <v>1078</v>
      </c>
      <c r="M55" s="129">
        <v>1890353</v>
      </c>
      <c r="N55" s="129">
        <v>514493</v>
      </c>
      <c r="O55" s="169">
        <v>414686.09</v>
      </c>
      <c r="P55" s="131">
        <f t="shared" si="9"/>
        <v>0.58905784863559252</v>
      </c>
      <c r="Q55" s="128">
        <v>1238</v>
      </c>
      <c r="R55" s="129">
        <v>2028159</v>
      </c>
      <c r="S55" s="129">
        <v>576572</v>
      </c>
      <c r="T55" s="169">
        <v>452365.77399999998</v>
      </c>
      <c r="U55" s="131">
        <f t="shared" si="10"/>
        <v>0.66648864985392364</v>
      </c>
      <c r="V55" s="128">
        <v>1244</v>
      </c>
      <c r="W55" s="129">
        <v>1792263</v>
      </c>
      <c r="X55" s="129">
        <v>528534</v>
      </c>
      <c r="Y55" s="169">
        <v>425217.77500000002</v>
      </c>
      <c r="Z55" s="131">
        <f t="shared" si="11"/>
        <v>0.68955130871399906</v>
      </c>
    </row>
    <row r="56" spans="1:26" x14ac:dyDescent="0.2">
      <c r="A56" s="114" t="str">
        <f>$A$16</f>
        <v>BVG 2015</v>
      </c>
      <c r="B56" s="33">
        <v>1057</v>
      </c>
      <c r="C56" s="8">
        <v>2038836</v>
      </c>
      <c r="D56" s="8">
        <v>518068</v>
      </c>
      <c r="E56" s="152">
        <v>437178.28</v>
      </c>
      <c r="F56" s="34">
        <f t="shared" si="7"/>
        <v>0.56829711731160559</v>
      </c>
      <c r="G56" s="47">
        <v>824</v>
      </c>
      <c r="H56" s="48">
        <v>1415117</v>
      </c>
      <c r="I56" s="48">
        <v>434085</v>
      </c>
      <c r="J56" s="162">
        <v>347949.21600000001</v>
      </c>
      <c r="K56" s="50">
        <f t="shared" si="8"/>
        <v>0.47482945948769667</v>
      </c>
      <c r="L56" s="128">
        <v>129</v>
      </c>
      <c r="M56" s="129">
        <v>203727</v>
      </c>
      <c r="N56" s="129">
        <v>68998</v>
      </c>
      <c r="O56" s="169">
        <v>51737.639000000003</v>
      </c>
      <c r="P56" s="131">
        <f t="shared" si="9"/>
        <v>7.349284930879868E-2</v>
      </c>
      <c r="Q56" s="128">
        <v>0</v>
      </c>
      <c r="R56" s="129">
        <v>0</v>
      </c>
      <c r="S56" s="129">
        <v>0</v>
      </c>
      <c r="T56" s="169">
        <v>0</v>
      </c>
      <c r="U56" s="131">
        <f t="shared" si="10"/>
        <v>0</v>
      </c>
      <c r="V56" s="128">
        <v>0</v>
      </c>
      <c r="W56" s="129">
        <v>0</v>
      </c>
      <c r="X56" s="129">
        <v>0</v>
      </c>
      <c r="Y56" s="169">
        <v>0</v>
      </c>
      <c r="Z56" s="131">
        <f t="shared" si="11"/>
        <v>0</v>
      </c>
    </row>
    <row r="57" spans="1:26" ht="12.75" customHeight="1" x14ac:dyDescent="0.2">
      <c r="A57" s="114" t="str">
        <f>$A$17</f>
        <v>VZ 1990</v>
      </c>
      <c r="B57" s="33">
        <v>0</v>
      </c>
      <c r="C57" s="8">
        <v>0</v>
      </c>
      <c r="D57" s="8">
        <v>0</v>
      </c>
      <c r="E57" s="152">
        <v>0</v>
      </c>
      <c r="F57" s="34">
        <f t="shared" si="7"/>
        <v>0</v>
      </c>
      <c r="G57" s="47">
        <v>0</v>
      </c>
      <c r="H57" s="48">
        <v>0</v>
      </c>
      <c r="I57" s="48">
        <v>0</v>
      </c>
      <c r="J57" s="162">
        <v>0</v>
      </c>
      <c r="K57" s="50">
        <f t="shared" si="8"/>
        <v>0</v>
      </c>
      <c r="L57" s="128">
        <v>0</v>
      </c>
      <c r="M57" s="129">
        <v>0</v>
      </c>
      <c r="N57" s="129">
        <v>0</v>
      </c>
      <c r="O57" s="169">
        <v>0</v>
      </c>
      <c r="P57" s="131">
        <f t="shared" si="9"/>
        <v>0</v>
      </c>
      <c r="Q57" s="128">
        <v>0</v>
      </c>
      <c r="R57" s="129">
        <v>0</v>
      </c>
      <c r="S57" s="129">
        <v>0</v>
      </c>
      <c r="T57" s="169">
        <v>0</v>
      </c>
      <c r="U57" s="131">
        <f t="shared" si="10"/>
        <v>0</v>
      </c>
      <c r="V57" s="128">
        <v>1</v>
      </c>
      <c r="W57" s="129">
        <v>9</v>
      </c>
      <c r="X57" s="129">
        <v>0</v>
      </c>
      <c r="Y57" s="169">
        <v>0.28199999999999997</v>
      </c>
      <c r="Z57" s="131">
        <f t="shared" si="11"/>
        <v>4.573032466889412E-7</v>
      </c>
    </row>
    <row r="58" spans="1:26" ht="12.75" customHeight="1" x14ac:dyDescent="0.2">
      <c r="A58" s="114" t="str">
        <f>$A$18</f>
        <v>VZ 2000</v>
      </c>
      <c r="B58" s="33">
        <v>0</v>
      </c>
      <c r="C58" s="8">
        <v>0</v>
      </c>
      <c r="D58" s="8">
        <v>0</v>
      </c>
      <c r="E58" s="152">
        <v>0</v>
      </c>
      <c r="F58" s="34">
        <f t="shared" si="7"/>
        <v>0</v>
      </c>
      <c r="G58" s="47">
        <v>0</v>
      </c>
      <c r="H58" s="48">
        <v>0</v>
      </c>
      <c r="I58" s="48">
        <v>0</v>
      </c>
      <c r="J58" s="162">
        <v>0</v>
      </c>
      <c r="K58" s="50">
        <f t="shared" si="8"/>
        <v>0</v>
      </c>
      <c r="L58" s="128">
        <v>0</v>
      </c>
      <c r="M58" s="129">
        <v>0</v>
      </c>
      <c r="N58" s="129">
        <v>0</v>
      </c>
      <c r="O58" s="169">
        <v>0</v>
      </c>
      <c r="P58" s="131">
        <f t="shared" si="9"/>
        <v>0</v>
      </c>
      <c r="Q58" s="128">
        <v>0</v>
      </c>
      <c r="R58" s="129">
        <v>0</v>
      </c>
      <c r="S58" s="129">
        <v>0</v>
      </c>
      <c r="T58" s="169">
        <v>0</v>
      </c>
      <c r="U58" s="131">
        <f t="shared" si="10"/>
        <v>0</v>
      </c>
      <c r="V58" s="128">
        <v>1</v>
      </c>
      <c r="W58" s="129">
        <v>130</v>
      </c>
      <c r="X58" s="129">
        <v>72</v>
      </c>
      <c r="Y58" s="169">
        <v>27.13</v>
      </c>
      <c r="Z58" s="131">
        <f t="shared" si="11"/>
        <v>4.3995166959826154E-5</v>
      </c>
    </row>
    <row r="59" spans="1:26" ht="12.75" customHeight="1" x14ac:dyDescent="0.2">
      <c r="A59" s="114" t="str">
        <f>$A$19</f>
        <v>VZ 2005</v>
      </c>
      <c r="B59" s="33">
        <v>0</v>
      </c>
      <c r="C59" s="8">
        <v>0</v>
      </c>
      <c r="D59" s="8">
        <v>0</v>
      </c>
      <c r="E59" s="152">
        <v>0</v>
      </c>
      <c r="F59" s="34">
        <f t="shared" si="7"/>
        <v>0</v>
      </c>
      <c r="G59" s="47">
        <v>4</v>
      </c>
      <c r="H59" s="48">
        <v>257</v>
      </c>
      <c r="I59" s="48">
        <v>349</v>
      </c>
      <c r="J59" s="162">
        <v>221.94200000000001</v>
      </c>
      <c r="K59" s="50">
        <f t="shared" si="8"/>
        <v>3.0287350869506881E-4</v>
      </c>
      <c r="L59" s="128">
        <v>15</v>
      </c>
      <c r="M59" s="129">
        <v>3157</v>
      </c>
      <c r="N59" s="129">
        <v>1182</v>
      </c>
      <c r="O59" s="169">
        <v>659.91899999999998</v>
      </c>
      <c r="P59" s="131">
        <f t="shared" si="9"/>
        <v>9.3740898426024257E-4</v>
      </c>
      <c r="Q59" s="128">
        <v>20</v>
      </c>
      <c r="R59" s="129">
        <v>7154</v>
      </c>
      <c r="S59" s="129">
        <v>1398</v>
      </c>
      <c r="T59" s="169">
        <v>1201.989</v>
      </c>
      <c r="U59" s="131">
        <f t="shared" si="10"/>
        <v>1.770938633720039E-3</v>
      </c>
      <c r="V59" s="128">
        <v>28</v>
      </c>
      <c r="W59" s="129">
        <v>7848</v>
      </c>
      <c r="X59" s="129">
        <v>2249</v>
      </c>
      <c r="Y59" s="169">
        <v>1709.575</v>
      </c>
      <c r="Z59" s="131">
        <f t="shared" si="11"/>
        <v>2.7723198509157689E-3</v>
      </c>
    </row>
    <row r="60" spans="1:26" ht="12.75" customHeight="1" x14ac:dyDescent="0.2">
      <c r="A60" s="114" t="str">
        <f>$A$20</f>
        <v>VZ 2010</v>
      </c>
      <c r="B60" s="33">
        <v>19</v>
      </c>
      <c r="C60" s="8">
        <v>72934</v>
      </c>
      <c r="D60" s="8">
        <v>25375</v>
      </c>
      <c r="E60" s="152">
        <v>25029.977999999999</v>
      </c>
      <c r="F60" s="34">
        <f t="shared" si="7"/>
        <v>3.2536987756511843E-2</v>
      </c>
      <c r="G60" s="47">
        <v>81</v>
      </c>
      <c r="H60" s="48">
        <v>319625</v>
      </c>
      <c r="I60" s="48">
        <v>121762</v>
      </c>
      <c r="J60" s="162">
        <v>106169.327</v>
      </c>
      <c r="K60" s="50">
        <f t="shared" si="8"/>
        <v>0.1448841435342752</v>
      </c>
      <c r="L60" s="128">
        <v>116</v>
      </c>
      <c r="M60" s="129">
        <v>342696</v>
      </c>
      <c r="N60" s="129">
        <v>134831</v>
      </c>
      <c r="O60" s="169">
        <v>114275.06</v>
      </c>
      <c r="P60" s="131">
        <f t="shared" si="9"/>
        <v>0.1623266914892256</v>
      </c>
      <c r="Q60" s="128">
        <v>125</v>
      </c>
      <c r="R60" s="129">
        <v>305920</v>
      </c>
      <c r="S60" s="129">
        <v>117808</v>
      </c>
      <c r="T60" s="169">
        <v>99769.138000000006</v>
      </c>
      <c r="U60" s="131">
        <f t="shared" si="10"/>
        <v>0.14699387509964404</v>
      </c>
      <c r="V60" s="128">
        <v>122</v>
      </c>
      <c r="W60" s="129">
        <v>284067</v>
      </c>
      <c r="X60" s="129">
        <v>108506</v>
      </c>
      <c r="Y60" s="169">
        <v>88310.3</v>
      </c>
      <c r="Z60" s="131">
        <f t="shared" si="11"/>
        <v>0.14320775498607946</v>
      </c>
    </row>
    <row r="61" spans="1:26" ht="12.75" customHeight="1" x14ac:dyDescent="0.2">
      <c r="A61" s="114" t="str">
        <f>$A$21</f>
        <v>VZ 2015</v>
      </c>
      <c r="B61" s="33">
        <v>87</v>
      </c>
      <c r="C61" s="8">
        <v>276384</v>
      </c>
      <c r="D61" s="8">
        <v>115137</v>
      </c>
      <c r="E61" s="152">
        <v>98478.292000000001</v>
      </c>
      <c r="F61" s="34">
        <f t="shared" si="7"/>
        <v>0.12801397512559531</v>
      </c>
      <c r="G61" s="47">
        <v>32</v>
      </c>
      <c r="H61" s="48">
        <v>25466</v>
      </c>
      <c r="I61" s="48">
        <v>15521</v>
      </c>
      <c r="J61" s="162">
        <v>11437.431</v>
      </c>
      <c r="K61" s="50">
        <f t="shared" si="8"/>
        <v>1.5608108683474736E-2</v>
      </c>
      <c r="L61" s="128">
        <v>0</v>
      </c>
      <c r="M61" s="129">
        <v>0</v>
      </c>
      <c r="N61" s="129">
        <v>0</v>
      </c>
      <c r="O61" s="169">
        <v>0</v>
      </c>
      <c r="P61" s="131">
        <f t="shared" si="9"/>
        <v>0</v>
      </c>
      <c r="Q61" s="128">
        <v>0</v>
      </c>
      <c r="R61" s="129">
        <v>0</v>
      </c>
      <c r="S61" s="129">
        <v>0</v>
      </c>
      <c r="T61" s="169">
        <v>0</v>
      </c>
      <c r="U61" s="131">
        <f t="shared" si="10"/>
        <v>0</v>
      </c>
      <c r="V61" s="128">
        <v>0</v>
      </c>
      <c r="W61" s="129">
        <v>0</v>
      </c>
      <c r="X61" s="129">
        <v>0</v>
      </c>
      <c r="Y61" s="169">
        <v>0</v>
      </c>
      <c r="Z61" s="131">
        <f t="shared" si="11"/>
        <v>0</v>
      </c>
    </row>
    <row r="62" spans="1:26" ht="12.75" customHeight="1" x14ac:dyDescent="0.2">
      <c r="A62" s="114" t="str">
        <f>$A$22</f>
        <v>Andere</v>
      </c>
      <c r="B62" s="33">
        <v>5</v>
      </c>
      <c r="C62" s="8">
        <v>592</v>
      </c>
      <c r="D62" s="8">
        <v>39</v>
      </c>
      <c r="E62" s="152">
        <v>12.487</v>
      </c>
      <c r="F62" s="34">
        <f t="shared" si="7"/>
        <v>1.6232110396403997E-5</v>
      </c>
      <c r="G62" s="47">
        <v>16</v>
      </c>
      <c r="H62" s="48">
        <v>9902</v>
      </c>
      <c r="I62" s="48">
        <v>551</v>
      </c>
      <c r="J62" s="162">
        <v>1563.3489999999999</v>
      </c>
      <c r="K62" s="50">
        <f t="shared" si="8"/>
        <v>2.133426737367993E-3</v>
      </c>
      <c r="L62" s="184">
        <v>9</v>
      </c>
      <c r="M62" s="129">
        <v>3210</v>
      </c>
      <c r="N62" s="129">
        <v>653</v>
      </c>
      <c r="O62" s="169">
        <v>514.971</v>
      </c>
      <c r="P62" s="131">
        <f t="shared" si="9"/>
        <v>7.3151165829970252E-4</v>
      </c>
      <c r="Q62" s="184">
        <v>6</v>
      </c>
      <c r="R62" s="129">
        <v>636</v>
      </c>
      <c r="S62" s="129">
        <v>26</v>
      </c>
      <c r="T62" s="169">
        <v>12.346</v>
      </c>
      <c r="U62" s="131">
        <f t="shared" si="10"/>
        <v>1.8189857288134584E-5</v>
      </c>
      <c r="V62" s="184">
        <v>11</v>
      </c>
      <c r="W62" s="129">
        <v>79781</v>
      </c>
      <c r="X62" s="129">
        <v>7264</v>
      </c>
      <c r="Y62" s="169">
        <v>8197.7980000000007</v>
      </c>
      <c r="Z62" s="131">
        <f t="shared" si="11"/>
        <v>1.3293899436525211E-2</v>
      </c>
    </row>
    <row r="63" spans="1:26" ht="12.75" customHeight="1" x14ac:dyDescent="0.2">
      <c r="A63" s="114" t="str">
        <f>$A$23</f>
        <v>Keine (Versicherungsvertrag)</v>
      </c>
      <c r="B63" s="33">
        <v>196</v>
      </c>
      <c r="C63" s="8">
        <v>1053493</v>
      </c>
      <c r="D63" s="8">
        <v>119</v>
      </c>
      <c r="E63" s="152">
        <v>103689.288</v>
      </c>
      <c r="F63" s="34">
        <f t="shared" si="7"/>
        <v>0.13478785695047077</v>
      </c>
      <c r="G63" s="178">
        <v>189</v>
      </c>
      <c r="H63" s="179">
        <v>1139836</v>
      </c>
      <c r="I63" s="179">
        <v>0</v>
      </c>
      <c r="J63" s="162">
        <v>109295.16899999999</v>
      </c>
      <c r="K63" s="50">
        <f t="shared" si="8"/>
        <v>0.14914982886722888</v>
      </c>
      <c r="L63" s="211">
        <v>211</v>
      </c>
      <c r="M63" s="212">
        <v>1256422</v>
      </c>
      <c r="N63" s="212">
        <v>11099</v>
      </c>
      <c r="O63" s="212">
        <v>115380.879</v>
      </c>
      <c r="P63" s="213">
        <f t="shared" si="9"/>
        <v>0.16389749739959594</v>
      </c>
      <c r="Q63" s="211">
        <v>221</v>
      </c>
      <c r="R63" s="212">
        <v>1279794</v>
      </c>
      <c r="S63" s="212">
        <v>14187</v>
      </c>
      <c r="T63" s="212">
        <v>116530.534</v>
      </c>
      <c r="U63" s="213">
        <f t="shared" si="10"/>
        <v>0.1716891125198538</v>
      </c>
      <c r="V63" s="211" t="str">
        <f>Translation!$A$447</f>
        <v>nicht separat erhoben</v>
      </c>
      <c r="W63" s="212"/>
      <c r="X63" s="212"/>
      <c r="Y63" s="212"/>
      <c r="Z63" s="213"/>
    </row>
    <row r="64" spans="1:26" ht="12.75" customHeight="1" x14ac:dyDescent="0.2">
      <c r="A64" s="114" t="str">
        <f>$A$24</f>
        <v>Keine (temporäre Leistungen)</v>
      </c>
      <c r="B64" s="33">
        <v>12</v>
      </c>
      <c r="C64" s="8">
        <v>2054</v>
      </c>
      <c r="D64" s="8">
        <v>57</v>
      </c>
      <c r="E64" s="152">
        <v>280.31799999999998</v>
      </c>
      <c r="F64" s="34">
        <f t="shared" si="7"/>
        <v>3.6439118459991797E-4</v>
      </c>
      <c r="G64" s="178">
        <v>11</v>
      </c>
      <c r="H64" s="179">
        <v>2029</v>
      </c>
      <c r="I64" s="179">
        <v>54</v>
      </c>
      <c r="J64" s="162">
        <v>289.40899999999999</v>
      </c>
      <c r="K64" s="50">
        <f t="shared" si="8"/>
        <v>3.9494245919173104E-4</v>
      </c>
      <c r="L64" s="211">
        <v>14</v>
      </c>
      <c r="M64" s="212">
        <v>1780</v>
      </c>
      <c r="N64" s="212">
        <v>98</v>
      </c>
      <c r="O64" s="212">
        <v>256.67200000000003</v>
      </c>
      <c r="P64" s="213">
        <f t="shared" si="9"/>
        <v>3.6460025974103638E-4</v>
      </c>
      <c r="Q64" s="211">
        <v>15</v>
      </c>
      <c r="R64" s="212">
        <v>3931</v>
      </c>
      <c r="S64" s="212">
        <v>256</v>
      </c>
      <c r="T64" s="212">
        <v>403.84300000000002</v>
      </c>
      <c r="U64" s="213">
        <f t="shared" si="10"/>
        <v>5.9499809953119515E-4</v>
      </c>
      <c r="V64" s="211" t="str">
        <f>Translation!$A$447</f>
        <v>nicht separat erhoben</v>
      </c>
      <c r="W64" s="212"/>
      <c r="X64" s="212"/>
      <c r="Y64" s="212"/>
      <c r="Z64" s="213"/>
    </row>
    <row r="65" spans="1:26" ht="12.75" customHeight="1" x14ac:dyDescent="0.2">
      <c r="A65" s="114" t="str">
        <f>$A$25</f>
        <v>Keine (Kapitalleistungen)</v>
      </c>
      <c r="B65" s="33">
        <v>101</v>
      </c>
      <c r="C65" s="8">
        <v>17258</v>
      </c>
      <c r="D65" s="8">
        <v>0</v>
      </c>
      <c r="E65" s="152">
        <v>1968.992</v>
      </c>
      <c r="F65" s="34">
        <f t="shared" si="7"/>
        <v>2.5595335559891329E-3</v>
      </c>
      <c r="G65" s="47">
        <v>104</v>
      </c>
      <c r="H65" s="48">
        <v>16285</v>
      </c>
      <c r="I65" s="48">
        <v>0</v>
      </c>
      <c r="J65" s="162">
        <v>1868.0809999999999</v>
      </c>
      <c r="K65" s="50">
        <f t="shared" si="8"/>
        <v>2.5492797532535205E-3</v>
      </c>
      <c r="L65" s="128">
        <v>105</v>
      </c>
      <c r="M65" s="129">
        <v>20370</v>
      </c>
      <c r="N65" s="129">
        <v>0</v>
      </c>
      <c r="O65" s="169">
        <v>2258.4989999999998</v>
      </c>
      <c r="P65" s="131">
        <f t="shared" si="9"/>
        <v>3.2081774483577125E-3</v>
      </c>
      <c r="Q65" s="128">
        <v>122</v>
      </c>
      <c r="R65" s="129">
        <v>20909</v>
      </c>
      <c r="S65" s="129">
        <v>0</v>
      </c>
      <c r="T65" s="169">
        <v>2438.2660000000001</v>
      </c>
      <c r="U65" s="131">
        <f t="shared" si="10"/>
        <v>3.5923951539373693E-3</v>
      </c>
      <c r="V65" s="128">
        <v>333</v>
      </c>
      <c r="W65" s="129">
        <v>1342584</v>
      </c>
      <c r="X65" s="129">
        <v>111111</v>
      </c>
      <c r="Y65" s="169">
        <v>68302.281000000003</v>
      </c>
      <c r="Z65" s="131">
        <f>Y65/Y$76</f>
        <v>0.11076189665801556</v>
      </c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F76" si="12">SUM(B$52:B$75)</f>
        <v>1616</v>
      </c>
      <c r="C76" s="9">
        <f t="shared" si="12"/>
        <v>3850189</v>
      </c>
      <c r="D76" s="9">
        <f t="shared" si="12"/>
        <v>761307</v>
      </c>
      <c r="E76" s="153">
        <f t="shared" si="12"/>
        <v>769277.66599999985</v>
      </c>
      <c r="F76" s="67">
        <f t="shared" si="12"/>
        <v>1.0000000000000002</v>
      </c>
      <c r="G76" s="51">
        <f t="shared" ref="G76:Z76" si="13">SUM(G$52:G$75)</f>
        <v>1643</v>
      </c>
      <c r="H76" s="68">
        <f t="shared" si="13"/>
        <v>3728054</v>
      </c>
      <c r="I76" s="68">
        <f t="shared" si="13"/>
        <v>738727</v>
      </c>
      <c r="J76" s="163">
        <f t="shared" si="13"/>
        <v>732787.76</v>
      </c>
      <c r="K76" s="69">
        <f t="shared" si="13"/>
        <v>1</v>
      </c>
      <c r="L76" s="132">
        <f t="shared" si="13"/>
        <v>1705</v>
      </c>
      <c r="M76" s="133">
        <f t="shared" si="13"/>
        <v>3729812</v>
      </c>
      <c r="N76" s="133">
        <f t="shared" si="13"/>
        <v>734767</v>
      </c>
      <c r="O76" s="170">
        <f t="shared" si="13"/>
        <v>703981.94500000007</v>
      </c>
      <c r="P76" s="135">
        <f t="shared" si="13"/>
        <v>0.99999999999999989</v>
      </c>
      <c r="Q76" s="132">
        <f t="shared" si="13"/>
        <v>1802</v>
      </c>
      <c r="R76" s="133">
        <f t="shared" si="13"/>
        <v>3664657</v>
      </c>
      <c r="S76" s="133">
        <f t="shared" si="13"/>
        <v>714906</v>
      </c>
      <c r="T76" s="170">
        <f t="shared" si="13"/>
        <v>678729.89899999998</v>
      </c>
      <c r="U76" s="135">
        <f t="shared" si="13"/>
        <v>1</v>
      </c>
      <c r="V76" s="132">
        <f t="shared" si="13"/>
        <v>1847</v>
      </c>
      <c r="W76" s="133">
        <f t="shared" si="13"/>
        <v>3574632</v>
      </c>
      <c r="X76" s="133">
        <f t="shared" si="13"/>
        <v>783627</v>
      </c>
      <c r="Y76" s="170">
        <f t="shared" si="13"/>
        <v>616658.64399999997</v>
      </c>
      <c r="Z76" s="135">
        <f t="shared" si="13"/>
        <v>1.0000000000000002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EVK 2000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105" si="14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105" si="15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105" si="16">O92/O$116</f>
        <v>0</v>
      </c>
      <c r="Q92" s="136">
        <v>2</v>
      </c>
      <c r="R92" s="137">
        <v>27012</v>
      </c>
      <c r="S92" s="137">
        <v>10505</v>
      </c>
      <c r="T92" s="171">
        <v>7813.97</v>
      </c>
      <c r="U92" s="139">
        <f t="shared" ref="U92:U105" si="17">T92/T$116</f>
        <v>6.2361535550888469E-2</v>
      </c>
      <c r="V92" s="136">
        <v>4</v>
      </c>
      <c r="W92" s="137">
        <v>29173</v>
      </c>
      <c r="X92" s="137">
        <v>10027</v>
      </c>
      <c r="Y92" s="171">
        <v>8184.7089999999998</v>
      </c>
      <c r="Z92" s="139">
        <f t="shared" ref="Z92:Z102" si="18">Y92/Y$116</f>
        <v>6.3547756625815119E-2</v>
      </c>
    </row>
    <row r="93" spans="1:26" x14ac:dyDescent="0.2">
      <c r="A93" s="114" t="str">
        <f>$A$13</f>
        <v>BVG 2000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4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5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6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7"/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18"/>
        <v>0</v>
      </c>
    </row>
    <row r="94" spans="1:26" x14ac:dyDescent="0.2">
      <c r="A94" s="114" t="str">
        <f>$A$14</f>
        <v>BVG 2005</v>
      </c>
      <c r="B94" s="36">
        <v>0</v>
      </c>
      <c r="C94" s="10">
        <v>0</v>
      </c>
      <c r="D94" s="10">
        <v>0</v>
      </c>
      <c r="E94" s="154">
        <v>0</v>
      </c>
      <c r="F94" s="37">
        <f t="shared" si="14"/>
        <v>0</v>
      </c>
      <c r="G94" s="53">
        <v>1</v>
      </c>
      <c r="H94" s="54">
        <v>61</v>
      </c>
      <c r="I94" s="54">
        <v>30</v>
      </c>
      <c r="J94" s="164">
        <v>6.6639999999999997</v>
      </c>
      <c r="K94" s="56">
        <f t="shared" si="15"/>
        <v>5.2358086349342562E-5</v>
      </c>
      <c r="L94" s="136">
        <v>1</v>
      </c>
      <c r="M94" s="137">
        <v>64</v>
      </c>
      <c r="N94" s="137">
        <v>22</v>
      </c>
      <c r="O94" s="171">
        <v>6.49</v>
      </c>
      <c r="P94" s="139">
        <f t="shared" si="16"/>
        <v>5.4424388754364867E-5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17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18"/>
        <v>0</v>
      </c>
    </row>
    <row r="95" spans="1:26" x14ac:dyDescent="0.2">
      <c r="A95" s="114" t="str">
        <f>$A$15</f>
        <v>BVG 2010</v>
      </c>
      <c r="B95" s="36">
        <v>3</v>
      </c>
      <c r="C95" s="10">
        <v>24883</v>
      </c>
      <c r="D95" s="10">
        <v>12856</v>
      </c>
      <c r="E95" s="154">
        <v>8362.2860000000001</v>
      </c>
      <c r="F95" s="37">
        <f t="shared" si="14"/>
        <v>6.2400408172168076E-2</v>
      </c>
      <c r="G95" s="53">
        <v>5</v>
      </c>
      <c r="H95" s="54">
        <v>48647</v>
      </c>
      <c r="I95" s="54">
        <v>24572</v>
      </c>
      <c r="J95" s="164">
        <v>18998.550999999999</v>
      </c>
      <c r="K95" s="56">
        <f t="shared" si="15"/>
        <v>0.14926887361500427</v>
      </c>
      <c r="L95" s="136">
        <v>12</v>
      </c>
      <c r="M95" s="137">
        <v>53020</v>
      </c>
      <c r="N95" s="137">
        <v>26590</v>
      </c>
      <c r="O95" s="171">
        <v>20113.991999999998</v>
      </c>
      <c r="P95" s="139">
        <f t="shared" si="16"/>
        <v>0.16867360863022879</v>
      </c>
      <c r="Q95" s="136">
        <v>17</v>
      </c>
      <c r="R95" s="137">
        <v>112431</v>
      </c>
      <c r="S95" s="137">
        <v>47907</v>
      </c>
      <c r="T95" s="171">
        <v>40057.612000000001</v>
      </c>
      <c r="U95" s="139">
        <f t="shared" si="17"/>
        <v>0.31969078391927491</v>
      </c>
      <c r="V95" s="136">
        <v>18</v>
      </c>
      <c r="W95" s="137">
        <v>117834</v>
      </c>
      <c r="X95" s="137">
        <v>49255</v>
      </c>
      <c r="Y95" s="171">
        <v>41026.28</v>
      </c>
      <c r="Z95" s="139">
        <f t="shared" si="18"/>
        <v>0.31853643870570675</v>
      </c>
    </row>
    <row r="96" spans="1:26" x14ac:dyDescent="0.2">
      <c r="A96" s="114" t="str">
        <f>$A$16</f>
        <v>BVG 2015</v>
      </c>
      <c r="B96" s="36">
        <v>12</v>
      </c>
      <c r="C96" s="10">
        <v>74788</v>
      </c>
      <c r="D96" s="10">
        <v>32136</v>
      </c>
      <c r="E96" s="154">
        <v>28444.601999999999</v>
      </c>
      <c r="F96" s="37">
        <f t="shared" si="14"/>
        <v>0.21225712384088136</v>
      </c>
      <c r="G96" s="53">
        <v>11</v>
      </c>
      <c r="H96" s="54">
        <v>67824</v>
      </c>
      <c r="I96" s="54">
        <v>25798</v>
      </c>
      <c r="J96" s="164">
        <v>23502.348000000002</v>
      </c>
      <c r="K96" s="56">
        <f t="shared" si="15"/>
        <v>0.18465455672213366</v>
      </c>
      <c r="L96" s="136">
        <v>4</v>
      </c>
      <c r="M96" s="137">
        <v>60882</v>
      </c>
      <c r="N96" s="137">
        <v>23085</v>
      </c>
      <c r="O96" s="171">
        <v>20994.107</v>
      </c>
      <c r="P96" s="139">
        <f t="shared" si="16"/>
        <v>0.17605415114310211</v>
      </c>
      <c r="Q96" s="136">
        <v>0</v>
      </c>
      <c r="R96" s="137">
        <v>0</v>
      </c>
      <c r="S96" s="137">
        <v>0</v>
      </c>
      <c r="T96" s="171">
        <v>0</v>
      </c>
      <c r="U96" s="139">
        <f t="shared" si="17"/>
        <v>0</v>
      </c>
      <c r="V96" s="136">
        <v>0</v>
      </c>
      <c r="W96" s="137">
        <v>0</v>
      </c>
      <c r="X96" s="137">
        <v>0</v>
      </c>
      <c r="Y96" s="171"/>
      <c r="Z96" s="139">
        <f t="shared" si="18"/>
        <v>0</v>
      </c>
    </row>
    <row r="97" spans="1:26" ht="12.75" customHeight="1" x14ac:dyDescent="0.2">
      <c r="A97" s="114" t="str">
        <f>$A$17</f>
        <v>VZ 1990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4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5"/>
        <v>0</v>
      </c>
      <c r="L97" s="136">
        <v>0</v>
      </c>
      <c r="M97" s="137">
        <v>0</v>
      </c>
      <c r="N97" s="137">
        <v>0</v>
      </c>
      <c r="O97" s="171">
        <v>0</v>
      </c>
      <c r="P97" s="139">
        <f t="shared" si="16"/>
        <v>0</v>
      </c>
      <c r="Q97" s="136">
        <v>0</v>
      </c>
      <c r="R97" s="137">
        <v>0</v>
      </c>
      <c r="S97" s="137">
        <v>0</v>
      </c>
      <c r="T97" s="171">
        <v>0</v>
      </c>
      <c r="U97" s="139">
        <f t="shared" si="17"/>
        <v>0</v>
      </c>
      <c r="V97" s="136">
        <v>0</v>
      </c>
      <c r="W97" s="137">
        <v>0</v>
      </c>
      <c r="X97" s="137">
        <v>0</v>
      </c>
      <c r="Y97" s="171">
        <v>0</v>
      </c>
      <c r="Z97" s="139">
        <f t="shared" si="18"/>
        <v>0</v>
      </c>
    </row>
    <row r="98" spans="1:26" ht="12.75" customHeight="1" x14ac:dyDescent="0.2">
      <c r="A98" s="114" t="str">
        <f>$A$18</f>
        <v>VZ 2000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4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5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6"/>
        <v>0</v>
      </c>
      <c r="Q98" s="136">
        <v>0</v>
      </c>
      <c r="R98" s="137">
        <v>0</v>
      </c>
      <c r="S98" s="137">
        <v>0</v>
      </c>
      <c r="T98" s="171">
        <v>0</v>
      </c>
      <c r="U98" s="139">
        <f t="shared" si="17"/>
        <v>0</v>
      </c>
      <c r="V98" s="136">
        <v>3</v>
      </c>
      <c r="W98" s="137">
        <v>8310</v>
      </c>
      <c r="X98" s="137">
        <v>4932</v>
      </c>
      <c r="Y98" s="171">
        <v>3918.0509999999999</v>
      </c>
      <c r="Z98" s="139">
        <f t="shared" si="18"/>
        <v>3.0420550247483639E-2</v>
      </c>
    </row>
    <row r="99" spans="1:26" ht="12.75" customHeight="1" x14ac:dyDescent="0.2">
      <c r="A99" s="114" t="str">
        <f>$A$19</f>
        <v>VZ 2005</v>
      </c>
      <c r="B99" s="36">
        <v>1</v>
      </c>
      <c r="C99" s="10">
        <v>11</v>
      </c>
      <c r="D99" s="10">
        <v>25</v>
      </c>
      <c r="E99" s="154">
        <v>59.777000000000001</v>
      </c>
      <c r="F99" s="37">
        <f t="shared" si="14"/>
        <v>4.4606333714341883E-4</v>
      </c>
      <c r="G99" s="53">
        <v>1</v>
      </c>
      <c r="H99" s="54">
        <v>11</v>
      </c>
      <c r="I99" s="54">
        <v>25</v>
      </c>
      <c r="J99" s="164">
        <v>58.862000000000002</v>
      </c>
      <c r="K99" s="56">
        <f t="shared" si="15"/>
        <v>4.6247023990021041E-4</v>
      </c>
      <c r="L99" s="136">
        <v>1</v>
      </c>
      <c r="M99" s="137">
        <v>11</v>
      </c>
      <c r="N99" s="137">
        <v>26</v>
      </c>
      <c r="O99" s="171">
        <v>57.723999999999997</v>
      </c>
      <c r="P99" s="139">
        <f t="shared" si="16"/>
        <v>4.8406678219675768E-4</v>
      </c>
      <c r="Q99" s="136">
        <v>2</v>
      </c>
      <c r="R99" s="137">
        <v>13</v>
      </c>
      <c r="S99" s="137">
        <v>38</v>
      </c>
      <c r="T99" s="171">
        <v>76.534999999999997</v>
      </c>
      <c r="U99" s="139">
        <f t="shared" si="17"/>
        <v>6.108086060462541E-4</v>
      </c>
      <c r="V99" s="136">
        <v>7</v>
      </c>
      <c r="W99" s="137">
        <v>30090</v>
      </c>
      <c r="X99" s="137">
        <v>10337</v>
      </c>
      <c r="Y99" s="171">
        <v>8911.6139999999996</v>
      </c>
      <c r="Z99" s="139">
        <f t="shared" si="18"/>
        <v>6.9191595891216998E-2</v>
      </c>
    </row>
    <row r="100" spans="1:26" ht="12.75" customHeight="1" x14ac:dyDescent="0.2">
      <c r="A100" s="114" t="str">
        <f>$A$20</f>
        <v>VZ 2010</v>
      </c>
      <c r="B100" s="36">
        <v>9</v>
      </c>
      <c r="C100" s="10">
        <v>99932</v>
      </c>
      <c r="D100" s="10">
        <v>50665</v>
      </c>
      <c r="E100" s="154">
        <v>41849.767</v>
      </c>
      <c r="F100" s="37">
        <f t="shared" si="14"/>
        <v>0.31228811627707181</v>
      </c>
      <c r="G100" s="53">
        <v>17</v>
      </c>
      <c r="H100" s="54">
        <v>172034</v>
      </c>
      <c r="I100" s="54">
        <v>83764</v>
      </c>
      <c r="J100" s="164">
        <v>70400.712</v>
      </c>
      <c r="K100" s="56">
        <f t="shared" si="15"/>
        <v>0.55312823498667429</v>
      </c>
      <c r="L100" s="136">
        <v>20</v>
      </c>
      <c r="M100" s="137">
        <v>194366</v>
      </c>
      <c r="N100" s="137">
        <v>94111</v>
      </c>
      <c r="O100" s="171">
        <v>78075.695999999996</v>
      </c>
      <c r="P100" s="139">
        <f t="shared" si="16"/>
        <v>0.65473374905571802</v>
      </c>
      <c r="Q100" s="136">
        <v>22</v>
      </c>
      <c r="R100" s="137">
        <v>199924</v>
      </c>
      <c r="S100" s="137">
        <v>95462</v>
      </c>
      <c r="T100" s="171">
        <v>77352.998999999996</v>
      </c>
      <c r="U100" s="139">
        <f t="shared" si="17"/>
        <v>0.61733687192379028</v>
      </c>
      <c r="V100" s="136">
        <v>23</v>
      </c>
      <c r="W100" s="137">
        <v>172254</v>
      </c>
      <c r="X100" s="137">
        <v>85031</v>
      </c>
      <c r="Y100" s="171">
        <v>66723.887000000002</v>
      </c>
      <c r="Z100" s="139">
        <f t="shared" si="18"/>
        <v>0.51805792144893481</v>
      </c>
    </row>
    <row r="101" spans="1:26" ht="12.75" customHeight="1" x14ac:dyDescent="0.2">
      <c r="A101" s="114" t="str">
        <f>$A$21</f>
        <v>VZ 2015</v>
      </c>
      <c r="B101" s="36">
        <v>13</v>
      </c>
      <c r="C101" s="10">
        <v>126109</v>
      </c>
      <c r="D101" s="10">
        <v>60502</v>
      </c>
      <c r="E101" s="154">
        <v>55293.684999999998</v>
      </c>
      <c r="F101" s="37">
        <f t="shared" si="14"/>
        <v>0.41260828837273533</v>
      </c>
      <c r="G101" s="53">
        <v>4</v>
      </c>
      <c r="H101" s="54">
        <v>33463</v>
      </c>
      <c r="I101" s="54">
        <v>15909</v>
      </c>
      <c r="J101" s="164">
        <v>14310.242</v>
      </c>
      <c r="K101" s="56">
        <f t="shared" si="15"/>
        <v>0.11243350634993828</v>
      </c>
      <c r="L101" s="136">
        <v>0</v>
      </c>
      <c r="M101" s="137">
        <v>0</v>
      </c>
      <c r="N101" s="137">
        <v>0</v>
      </c>
      <c r="O101" s="171">
        <v>0</v>
      </c>
      <c r="P101" s="139">
        <f t="shared" si="16"/>
        <v>0</v>
      </c>
      <c r="Q101" s="136">
        <v>0</v>
      </c>
      <c r="R101" s="137">
        <v>0</v>
      </c>
      <c r="S101" s="137">
        <v>0</v>
      </c>
      <c r="T101" s="171">
        <v>0</v>
      </c>
      <c r="U101" s="139">
        <f t="shared" si="17"/>
        <v>0</v>
      </c>
      <c r="V101" s="136">
        <v>0</v>
      </c>
      <c r="W101" s="137">
        <v>0</v>
      </c>
      <c r="X101" s="137">
        <v>0</v>
      </c>
      <c r="Y101" s="171">
        <v>0</v>
      </c>
      <c r="Z101" s="139">
        <f t="shared" si="18"/>
        <v>0</v>
      </c>
    </row>
    <row r="102" spans="1:26" ht="12.75" customHeight="1" x14ac:dyDescent="0.2">
      <c r="A102" s="114" t="str">
        <f>$A$22</f>
        <v>Andere</v>
      </c>
      <c r="B102" s="36">
        <v>0</v>
      </c>
      <c r="C102" s="10">
        <v>0</v>
      </c>
      <c r="D102" s="10">
        <v>0</v>
      </c>
      <c r="E102" s="154">
        <v>0</v>
      </c>
      <c r="F102" s="37">
        <f t="shared" si="14"/>
        <v>0</v>
      </c>
      <c r="G102" s="53">
        <v>0</v>
      </c>
      <c r="H102" s="54">
        <v>0</v>
      </c>
      <c r="I102" s="54">
        <v>0</v>
      </c>
      <c r="J102" s="164">
        <v>0</v>
      </c>
      <c r="K102" s="56">
        <f t="shared" si="15"/>
        <v>0</v>
      </c>
      <c r="L102" s="186">
        <v>0</v>
      </c>
      <c r="M102" s="137">
        <v>0</v>
      </c>
      <c r="N102" s="137">
        <v>0</v>
      </c>
      <c r="O102" s="171">
        <v>0</v>
      </c>
      <c r="P102" s="139">
        <f t="shared" si="16"/>
        <v>0</v>
      </c>
      <c r="Q102" s="186">
        <v>0</v>
      </c>
      <c r="R102" s="137">
        <v>0</v>
      </c>
      <c r="S102" s="137">
        <v>0</v>
      </c>
      <c r="T102" s="171">
        <v>0</v>
      </c>
      <c r="U102" s="139">
        <f t="shared" si="17"/>
        <v>0</v>
      </c>
      <c r="V102" s="186">
        <v>1</v>
      </c>
      <c r="W102" s="137">
        <v>59</v>
      </c>
      <c r="X102" s="137">
        <v>20</v>
      </c>
      <c r="Y102" s="171">
        <v>5.8979999999999997</v>
      </c>
      <c r="Z102" s="139">
        <f t="shared" si="18"/>
        <v>4.579327970964607E-5</v>
      </c>
    </row>
    <row r="103" spans="1:26" ht="12.75" customHeight="1" x14ac:dyDescent="0.2">
      <c r="A103" s="114" t="str">
        <f>$A$23</f>
        <v>Keine (Versicherungsvertrag)</v>
      </c>
      <c r="B103" s="36">
        <v>0</v>
      </c>
      <c r="C103" s="10">
        <v>0</v>
      </c>
      <c r="D103" s="10">
        <v>0</v>
      </c>
      <c r="E103" s="154">
        <v>0</v>
      </c>
      <c r="F103" s="37">
        <f t="shared" si="14"/>
        <v>0</v>
      </c>
      <c r="G103" s="180">
        <v>0</v>
      </c>
      <c r="H103" s="181">
        <v>0</v>
      </c>
      <c r="I103" s="181">
        <v>0</v>
      </c>
      <c r="J103" s="164">
        <v>0</v>
      </c>
      <c r="K103" s="56">
        <f t="shared" si="15"/>
        <v>0</v>
      </c>
      <c r="L103" s="217">
        <v>0</v>
      </c>
      <c r="M103" s="218">
        <v>0</v>
      </c>
      <c r="N103" s="218">
        <v>0</v>
      </c>
      <c r="O103" s="218">
        <v>0</v>
      </c>
      <c r="P103" s="219">
        <f t="shared" si="16"/>
        <v>0</v>
      </c>
      <c r="Q103" s="217">
        <v>0</v>
      </c>
      <c r="R103" s="218">
        <v>0</v>
      </c>
      <c r="S103" s="218">
        <v>0</v>
      </c>
      <c r="T103" s="218">
        <v>0</v>
      </c>
      <c r="U103" s="219">
        <f t="shared" si="17"/>
        <v>0</v>
      </c>
      <c r="V103" s="217" t="str">
        <f>Translation!$A$447</f>
        <v>nicht separat erhoben</v>
      </c>
      <c r="W103" s="218"/>
      <c r="X103" s="218"/>
      <c r="Y103" s="218"/>
      <c r="Z103" s="219"/>
    </row>
    <row r="104" spans="1:26" ht="12.75" customHeight="1" x14ac:dyDescent="0.2">
      <c r="A104" s="114" t="str">
        <f>$A$24</f>
        <v>Keine (temporäre Leistungen)</v>
      </c>
      <c r="B104" s="36">
        <v>0</v>
      </c>
      <c r="C104" s="10">
        <v>0</v>
      </c>
      <c r="D104" s="10">
        <v>0</v>
      </c>
      <c r="E104" s="154">
        <v>0</v>
      </c>
      <c r="F104" s="37">
        <f t="shared" si="14"/>
        <v>0</v>
      </c>
      <c r="G104" s="180">
        <v>0</v>
      </c>
      <c r="H104" s="181">
        <v>0</v>
      </c>
      <c r="I104" s="181">
        <v>0</v>
      </c>
      <c r="J104" s="164">
        <v>0</v>
      </c>
      <c r="K104" s="56">
        <f t="shared" si="15"/>
        <v>0</v>
      </c>
      <c r="L104" s="217">
        <v>0</v>
      </c>
      <c r="M104" s="218">
        <v>0</v>
      </c>
      <c r="N104" s="218">
        <v>0</v>
      </c>
      <c r="O104" s="218">
        <v>0</v>
      </c>
      <c r="P104" s="219">
        <f t="shared" si="16"/>
        <v>0</v>
      </c>
      <c r="Q104" s="217">
        <v>0</v>
      </c>
      <c r="R104" s="218">
        <v>0</v>
      </c>
      <c r="S104" s="218">
        <v>0</v>
      </c>
      <c r="T104" s="218">
        <v>0</v>
      </c>
      <c r="U104" s="219">
        <f t="shared" si="17"/>
        <v>0</v>
      </c>
      <c r="V104" s="217" t="str">
        <f>Translation!$A$447</f>
        <v>nicht separat erhoben</v>
      </c>
      <c r="W104" s="218"/>
      <c r="X104" s="218"/>
      <c r="Y104" s="218"/>
      <c r="Z104" s="219"/>
    </row>
    <row r="105" spans="1:26" ht="12.75" customHeight="1" x14ac:dyDescent="0.2">
      <c r="A105" s="114" t="str">
        <f>$A$25</f>
        <v>Keine (Kapitalleistungen)</v>
      </c>
      <c r="B105" s="36">
        <v>0</v>
      </c>
      <c r="C105" s="10">
        <v>0</v>
      </c>
      <c r="D105" s="10">
        <v>0</v>
      </c>
      <c r="E105" s="154">
        <v>0</v>
      </c>
      <c r="F105" s="37">
        <f t="shared" si="14"/>
        <v>0</v>
      </c>
      <c r="G105" s="53">
        <v>0</v>
      </c>
      <c r="H105" s="54">
        <v>0</v>
      </c>
      <c r="I105" s="54">
        <v>0</v>
      </c>
      <c r="J105" s="164">
        <v>0</v>
      </c>
      <c r="K105" s="56">
        <f t="shared" si="15"/>
        <v>0</v>
      </c>
      <c r="L105" s="136">
        <v>0</v>
      </c>
      <c r="M105" s="137">
        <v>0</v>
      </c>
      <c r="N105" s="137">
        <v>0</v>
      </c>
      <c r="O105" s="171">
        <v>0</v>
      </c>
      <c r="P105" s="139">
        <f t="shared" si="16"/>
        <v>0</v>
      </c>
      <c r="Q105" s="136">
        <v>0</v>
      </c>
      <c r="R105" s="137">
        <v>0</v>
      </c>
      <c r="S105" s="137">
        <v>0</v>
      </c>
      <c r="T105" s="171">
        <v>0</v>
      </c>
      <c r="U105" s="139">
        <f t="shared" si="17"/>
        <v>0</v>
      </c>
      <c r="V105" s="136">
        <v>2</v>
      </c>
      <c r="W105" s="137">
        <v>396</v>
      </c>
      <c r="X105" s="137">
        <v>103</v>
      </c>
      <c r="Y105" s="171">
        <v>25.751999999999999</v>
      </c>
      <c r="Z105" s="139">
        <f>Y105/Y$116</f>
        <v>1.9994380113306303E-4</v>
      </c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K116" si="19">SUM(B$92:B$115)</f>
        <v>38</v>
      </c>
      <c r="C116" s="11">
        <f t="shared" si="19"/>
        <v>325723</v>
      </c>
      <c r="D116" s="11">
        <f t="shared" si="19"/>
        <v>156184</v>
      </c>
      <c r="E116" s="155">
        <f t="shared" si="19"/>
        <v>134010.117</v>
      </c>
      <c r="F116" s="70">
        <f t="shared" si="19"/>
        <v>1</v>
      </c>
      <c r="G116" s="57">
        <f t="shared" si="19"/>
        <v>39</v>
      </c>
      <c r="H116" s="71">
        <f t="shared" si="19"/>
        <v>322040</v>
      </c>
      <c r="I116" s="71">
        <f t="shared" si="19"/>
        <v>150098</v>
      </c>
      <c r="J116" s="165">
        <f t="shared" si="19"/>
        <v>127277.379</v>
      </c>
      <c r="K116" s="72">
        <f t="shared" si="19"/>
        <v>1</v>
      </c>
      <c r="L116" s="140">
        <f t="shared" ref="L116:Z116" si="20">SUM(L$92:L$115)</f>
        <v>38</v>
      </c>
      <c r="M116" s="141">
        <f t="shared" si="20"/>
        <v>308343</v>
      </c>
      <c r="N116" s="141">
        <f t="shared" si="20"/>
        <v>143834</v>
      </c>
      <c r="O116" s="172">
        <f t="shared" si="20"/>
        <v>119248.00899999999</v>
      </c>
      <c r="P116" s="143">
        <f t="shared" si="20"/>
        <v>1</v>
      </c>
      <c r="Q116" s="140">
        <f t="shared" si="20"/>
        <v>43</v>
      </c>
      <c r="R116" s="141">
        <f t="shared" si="20"/>
        <v>339380</v>
      </c>
      <c r="S116" s="141">
        <f t="shared" si="20"/>
        <v>153912</v>
      </c>
      <c r="T116" s="172">
        <f t="shared" si="20"/>
        <v>125301.11600000001</v>
      </c>
      <c r="U116" s="143">
        <f t="shared" si="20"/>
        <v>0.99999999999999989</v>
      </c>
      <c r="V116" s="140">
        <f t="shared" si="20"/>
        <v>58</v>
      </c>
      <c r="W116" s="141">
        <f t="shared" si="20"/>
        <v>358116</v>
      </c>
      <c r="X116" s="141">
        <f t="shared" si="20"/>
        <v>159705</v>
      </c>
      <c r="Y116" s="172">
        <f t="shared" si="20"/>
        <v>128796.19099999999</v>
      </c>
      <c r="Z116" s="143">
        <f t="shared" si="20"/>
        <v>1</v>
      </c>
    </row>
    <row r="120" spans="1:26" x14ac:dyDescent="0.2">
      <c r="A120" s="110" t="str">
        <f>Translation!$A$37</f>
        <v>Vorsorgekapital in Mio. CHF</v>
      </c>
    </row>
  </sheetData>
  <mergeCells count="23">
    <mergeCell ref="V104:Z104"/>
    <mergeCell ref="L3:P3"/>
    <mergeCell ref="Q3:U3"/>
    <mergeCell ref="V3:Z3"/>
    <mergeCell ref="V24:Z24"/>
    <mergeCell ref="V63:Z63"/>
    <mergeCell ref="L104:P104"/>
    <mergeCell ref="Q104:U104"/>
    <mergeCell ref="B3:F3"/>
    <mergeCell ref="G3:K3"/>
    <mergeCell ref="V64:Z64"/>
    <mergeCell ref="V23:Z23"/>
    <mergeCell ref="V103:Z103"/>
    <mergeCell ref="L23:P23"/>
    <mergeCell ref="L24:P24"/>
    <mergeCell ref="L63:P63"/>
    <mergeCell ref="L64:P64"/>
    <mergeCell ref="L103:P103"/>
    <mergeCell ref="Q23:U23"/>
    <mergeCell ref="Q24:U24"/>
    <mergeCell ref="Q63:U63"/>
    <mergeCell ref="Q64:U64"/>
    <mergeCell ref="Q103:U10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33" orientation="landscape" cellComments="atEnd" r:id="rId1"/>
  <headerFooter>
    <oddFooter>&amp;L&amp;10&amp;F / &amp;A&amp;C&amp;10&amp;H&amp;P / &amp;N&amp;R&amp;10OAK BV - RM / 10.05.2016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0">
    <pageSetUpPr fitToPage="1"/>
  </sheetPr>
  <dimension ref="A1:Z120"/>
  <sheetViews>
    <sheetView workbookViewId="0">
      <pane xSplit="1" ySplit="5" topLeftCell="B6" activePane="bottomRight" state="frozen"/>
      <selection activeCell="B21" sqref="B21"/>
      <selection pane="topRight" activeCell="B21" sqref="B21"/>
      <selection pane="bottomLeft" activeCell="B21" sqref="B21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Translation!$A$414</f>
        <v>Registrierung und Umfang der Leistungen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Translation!$A415</f>
        <v>Obligatorische Leistungen (inkl. umhüllende VE)</v>
      </c>
      <c r="B12" s="30">
        <v>1361</v>
      </c>
      <c r="C12" s="6">
        <v>4053906</v>
      </c>
      <c r="D12" s="6">
        <v>906216</v>
      </c>
      <c r="E12" s="150">
        <v>884360.91899999999</v>
      </c>
      <c r="F12" s="31">
        <f>E12/E$36</f>
        <v>0.97904669546493794</v>
      </c>
      <c r="G12" s="41">
        <v>1385</v>
      </c>
      <c r="H12" s="42">
        <v>3955201</v>
      </c>
      <c r="I12" s="42">
        <v>877289</v>
      </c>
      <c r="J12" s="160">
        <v>843483.38899999997</v>
      </c>
      <c r="K12" s="44">
        <f>J12/J$36</f>
        <v>0.9807203556473878</v>
      </c>
      <c r="L12" s="76">
        <v>1417</v>
      </c>
      <c r="M12" s="122">
        <v>3916781</v>
      </c>
      <c r="N12" s="122">
        <v>866798</v>
      </c>
      <c r="O12" s="167">
        <v>805642.103</v>
      </c>
      <c r="P12" s="124">
        <f>O12/O$36</f>
        <v>0.97863555509060107</v>
      </c>
      <c r="Q12" s="76">
        <v>1531</v>
      </c>
      <c r="R12" s="122">
        <v>3891191</v>
      </c>
      <c r="S12" s="122">
        <v>857625</v>
      </c>
      <c r="T12" s="167">
        <v>788088.69200000004</v>
      </c>
      <c r="U12" s="124">
        <f>T12/T$36</f>
        <v>0.98017200493192425</v>
      </c>
      <c r="V12" s="76">
        <v>1588</v>
      </c>
      <c r="W12" s="122">
        <v>3823133</v>
      </c>
      <c r="X12" s="122">
        <v>930521</v>
      </c>
      <c r="Y12" s="167">
        <v>733339.33</v>
      </c>
      <c r="Z12" s="124">
        <f>Y12/Y$36</f>
        <v>0.98374749960539187</v>
      </c>
    </row>
    <row r="13" spans="1:26" x14ac:dyDescent="0.2">
      <c r="A13" s="114" t="str">
        <f>Translation!$A416</f>
        <v>Nur überobligatorische Leistungen</v>
      </c>
      <c r="B13" s="30">
        <v>293</v>
      </c>
      <c r="C13" s="6">
        <v>122006</v>
      </c>
      <c r="D13" s="6">
        <v>11275</v>
      </c>
      <c r="E13" s="150">
        <v>18926.864000000001</v>
      </c>
      <c r="F13" s="31">
        <f>E13/E$36</f>
        <v>2.0953304535062001E-2</v>
      </c>
      <c r="G13" s="41">
        <v>297</v>
      </c>
      <c r="H13" s="42">
        <v>94893</v>
      </c>
      <c r="I13" s="42">
        <v>11536</v>
      </c>
      <c r="J13" s="160">
        <v>16581.75</v>
      </c>
      <c r="K13" s="44">
        <f>J13/J$36</f>
        <v>1.9279644352612226E-2</v>
      </c>
      <c r="L13" s="76">
        <v>326</v>
      </c>
      <c r="M13" s="122">
        <v>121374</v>
      </c>
      <c r="N13" s="122">
        <v>11803</v>
      </c>
      <c r="O13" s="167">
        <v>17587.850999999999</v>
      </c>
      <c r="P13" s="124">
        <f>O13/O$36</f>
        <v>2.136444490939891E-2</v>
      </c>
      <c r="Q13" s="76">
        <v>314</v>
      </c>
      <c r="R13" s="122">
        <v>112846</v>
      </c>
      <c r="S13" s="122">
        <v>11193</v>
      </c>
      <c r="T13" s="167">
        <v>15942.323</v>
      </c>
      <c r="U13" s="124">
        <f>T13/T$36</f>
        <v>1.9827995068075824E-2</v>
      </c>
      <c r="V13" s="76">
        <v>317</v>
      </c>
      <c r="W13" s="122">
        <v>109615</v>
      </c>
      <c r="X13" s="122">
        <v>12811</v>
      </c>
      <c r="Y13" s="167">
        <v>12115.504999999999</v>
      </c>
      <c r="Z13" s="124">
        <f>Y13/Y$36</f>
        <v>1.6252500394608078E-2</v>
      </c>
    </row>
    <row r="14" spans="1:26" ht="12.75" hidden="1" customHeight="1" x14ac:dyDescent="0.2">
      <c r="A14" s="114"/>
      <c r="B14" s="30"/>
      <c r="C14" s="6"/>
      <c r="D14" s="6"/>
      <c r="E14" s="150"/>
      <c r="F14" s="31"/>
      <c r="G14" s="41"/>
      <c r="H14" s="42"/>
      <c r="I14" s="42"/>
      <c r="J14" s="160"/>
      <c r="K14" s="44"/>
      <c r="L14" s="76"/>
      <c r="M14" s="122"/>
      <c r="N14" s="122"/>
      <c r="O14" s="167"/>
      <c r="P14" s="124"/>
      <c r="Q14" s="76"/>
      <c r="R14" s="122"/>
      <c r="S14" s="122"/>
      <c r="T14" s="167"/>
      <c r="U14" s="124"/>
      <c r="V14" s="76"/>
      <c r="W14" s="122"/>
      <c r="X14" s="122"/>
      <c r="Y14" s="167"/>
      <c r="Z14" s="124"/>
    </row>
    <row r="15" spans="1:26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  <c r="Q15" s="76"/>
      <c r="R15" s="122"/>
      <c r="S15" s="122"/>
      <c r="T15" s="167"/>
      <c r="U15" s="124"/>
      <c r="V15" s="76"/>
      <c r="W15" s="122"/>
      <c r="X15" s="122"/>
      <c r="Y15" s="167"/>
      <c r="Z15" s="124"/>
    </row>
    <row r="16" spans="1:26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  <c r="Q16" s="76"/>
      <c r="R16" s="122"/>
      <c r="S16" s="122"/>
      <c r="T16" s="167"/>
      <c r="U16" s="124"/>
      <c r="V16" s="76"/>
      <c r="W16" s="122"/>
      <c r="X16" s="122"/>
      <c r="Y16" s="167"/>
      <c r="Z16" s="124"/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903287.78300000005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Obligatorische Leistungen (inkl. umhüllende VE)</v>
      </c>
      <c r="B52" s="33">
        <v>1323</v>
      </c>
      <c r="C52" s="8">
        <v>3728183</v>
      </c>
      <c r="D52" s="8">
        <v>750032</v>
      </c>
      <c r="E52" s="152">
        <v>750350.80200000003</v>
      </c>
      <c r="F52" s="34">
        <f>E52/E$76</f>
        <v>0.97539657676738023</v>
      </c>
      <c r="G52" s="47">
        <v>1347</v>
      </c>
      <c r="H52" s="48">
        <v>3633222</v>
      </c>
      <c r="I52" s="48">
        <v>727221</v>
      </c>
      <c r="J52" s="162">
        <v>716212.674</v>
      </c>
      <c r="K52" s="50">
        <f>J52/J$76</f>
        <v>0.97738078212441759</v>
      </c>
      <c r="L52" s="128">
        <v>1380</v>
      </c>
      <c r="M52" s="129">
        <v>3608502</v>
      </c>
      <c r="N52" s="129">
        <v>722986</v>
      </c>
      <c r="O52" s="169">
        <v>686400.58400000003</v>
      </c>
      <c r="P52" s="131">
        <f>O52/O$76</f>
        <v>0.97502583535718368</v>
      </c>
      <c r="Q52" s="128">
        <v>1489</v>
      </c>
      <c r="R52" s="129">
        <v>3552201</v>
      </c>
      <c r="S52" s="129">
        <v>703821</v>
      </c>
      <c r="T52" s="169">
        <v>662814.57799999998</v>
      </c>
      <c r="U52" s="131">
        <f>T52/T$76</f>
        <v>0.97655131883323743</v>
      </c>
      <c r="V52" s="128">
        <v>1532</v>
      </c>
      <c r="W52" s="129">
        <v>3465472</v>
      </c>
      <c r="X52" s="129">
        <v>770938</v>
      </c>
      <c r="Y52" s="169">
        <v>604574.73199999996</v>
      </c>
      <c r="Z52" s="131">
        <f>Y52/Y$76</f>
        <v>0.9804042120911225</v>
      </c>
    </row>
    <row r="53" spans="1:26" x14ac:dyDescent="0.2">
      <c r="A53" s="114" t="str">
        <f>$A$13</f>
        <v>Nur überobligatorische Leistungen</v>
      </c>
      <c r="B53" s="33">
        <v>293</v>
      </c>
      <c r="C53" s="8">
        <v>122006</v>
      </c>
      <c r="D53" s="8">
        <v>11275</v>
      </c>
      <c r="E53" s="152">
        <v>18926.864000000001</v>
      </c>
      <c r="F53" s="34">
        <f>E53/E$76</f>
        <v>2.4603423232619888E-2</v>
      </c>
      <c r="G53" s="47">
        <v>296</v>
      </c>
      <c r="H53" s="48">
        <v>94832</v>
      </c>
      <c r="I53" s="48">
        <v>11506</v>
      </c>
      <c r="J53" s="162">
        <v>16575.085999999999</v>
      </c>
      <c r="K53" s="50">
        <f>J53/J$76</f>
        <v>2.261921787558242E-2</v>
      </c>
      <c r="L53" s="128">
        <v>325</v>
      </c>
      <c r="M53" s="129">
        <v>121310</v>
      </c>
      <c r="N53" s="129">
        <v>11781</v>
      </c>
      <c r="O53" s="169">
        <v>17581.361000000001</v>
      </c>
      <c r="P53" s="131">
        <f>O53/O$76</f>
        <v>2.4974164642816227E-2</v>
      </c>
      <c r="Q53" s="128">
        <v>313</v>
      </c>
      <c r="R53" s="129">
        <v>112456</v>
      </c>
      <c r="S53" s="129">
        <v>11085</v>
      </c>
      <c r="T53" s="169">
        <v>15915.321</v>
      </c>
      <c r="U53" s="131">
        <f>T53/T$76</f>
        <v>2.3448681166762627E-2</v>
      </c>
      <c r="V53" s="128">
        <v>315</v>
      </c>
      <c r="W53" s="129">
        <v>109160</v>
      </c>
      <c r="X53" s="129">
        <v>12689</v>
      </c>
      <c r="Y53" s="169">
        <v>12083.912</v>
      </c>
      <c r="Z53" s="131">
        <f>Y53/Y$76</f>
        <v>1.9595787908877511E-2</v>
      </c>
    </row>
    <row r="54" spans="1:26" ht="12.75" hidden="1" customHeight="1" x14ac:dyDescent="0.2">
      <c r="A54" s="114">
        <f>$A$14</f>
        <v>0</v>
      </c>
      <c r="B54" s="33"/>
      <c r="C54" s="8"/>
      <c r="D54" s="8"/>
      <c r="E54" s="152"/>
      <c r="F54" s="34"/>
      <c r="G54" s="47"/>
      <c r="H54" s="48"/>
      <c r="I54" s="48"/>
      <c r="J54" s="162"/>
      <c r="K54" s="50"/>
      <c r="L54" s="128"/>
      <c r="M54" s="129"/>
      <c r="N54" s="129"/>
      <c r="O54" s="169"/>
      <c r="P54" s="131"/>
      <c r="Q54" s="128"/>
      <c r="R54" s="129"/>
      <c r="S54" s="129"/>
      <c r="T54" s="169"/>
      <c r="U54" s="131"/>
      <c r="V54" s="128"/>
      <c r="W54" s="129"/>
      <c r="X54" s="129"/>
      <c r="Y54" s="169"/>
      <c r="Z54" s="131"/>
    </row>
    <row r="55" spans="1:26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1.0000000000000002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0.99999999999999989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Obligatorische Leistungen (inkl. umhüllende VE)</v>
      </c>
      <c r="B92" s="36">
        <v>38</v>
      </c>
      <c r="C92" s="10">
        <v>325723</v>
      </c>
      <c r="D92" s="10">
        <v>156184</v>
      </c>
      <c r="E92" s="154">
        <v>134010.117</v>
      </c>
      <c r="F92" s="37">
        <f>E92/E$116</f>
        <v>1</v>
      </c>
      <c r="G92" s="53">
        <v>38</v>
      </c>
      <c r="H92" s="54">
        <v>321979</v>
      </c>
      <c r="I92" s="54">
        <v>150068</v>
      </c>
      <c r="J92" s="164">
        <v>127270.715</v>
      </c>
      <c r="K92" s="56">
        <f>J92/J$116</f>
        <v>0.9999476419136506</v>
      </c>
      <c r="L92" s="136">
        <v>37</v>
      </c>
      <c r="M92" s="137">
        <v>308279</v>
      </c>
      <c r="N92" s="137">
        <v>143812</v>
      </c>
      <c r="O92" s="171">
        <v>119241.519</v>
      </c>
      <c r="P92" s="139">
        <f>O92/O$116</f>
        <v>0.99994557561124564</v>
      </c>
      <c r="Q92" s="136">
        <v>42</v>
      </c>
      <c r="R92" s="137">
        <v>338990</v>
      </c>
      <c r="S92" s="137">
        <v>153804</v>
      </c>
      <c r="T92" s="171">
        <v>125274.114</v>
      </c>
      <c r="U92" s="139">
        <f>T92/T$116</f>
        <v>0.99978450311647671</v>
      </c>
      <c r="V92" s="136">
        <v>56</v>
      </c>
      <c r="W92" s="137">
        <v>357661</v>
      </c>
      <c r="X92" s="137">
        <v>159583</v>
      </c>
      <c r="Y92" s="171">
        <v>128764.598</v>
      </c>
      <c r="Z92" s="139">
        <f>Y92/Y$116</f>
        <v>0.99975470547882905</v>
      </c>
    </row>
    <row r="93" spans="1:26" x14ac:dyDescent="0.2">
      <c r="A93" s="114" t="str">
        <f>$A$13</f>
        <v>Nur überobligatorische Leistungen</v>
      </c>
      <c r="B93" s="36">
        <v>0</v>
      </c>
      <c r="C93" s="10">
        <v>0</v>
      </c>
      <c r="D93" s="10">
        <v>0</v>
      </c>
      <c r="E93" s="154">
        <v>0</v>
      </c>
      <c r="F93" s="37">
        <f>E93/E$116</f>
        <v>0</v>
      </c>
      <c r="G93" s="53">
        <v>1</v>
      </c>
      <c r="H93" s="54">
        <v>61</v>
      </c>
      <c r="I93" s="54">
        <v>30</v>
      </c>
      <c r="J93" s="164">
        <v>6.6639999999999997</v>
      </c>
      <c r="K93" s="56">
        <f>J93/J$116</f>
        <v>5.2358086349342562E-5</v>
      </c>
      <c r="L93" s="136">
        <v>1</v>
      </c>
      <c r="M93" s="137">
        <v>64</v>
      </c>
      <c r="N93" s="137">
        <v>22</v>
      </c>
      <c r="O93" s="171">
        <v>6.49</v>
      </c>
      <c r="P93" s="139">
        <f>O93/O$116</f>
        <v>5.442438875436486E-5</v>
      </c>
      <c r="Q93" s="136">
        <v>1</v>
      </c>
      <c r="R93" s="137">
        <v>390</v>
      </c>
      <c r="S93" s="137">
        <v>108</v>
      </c>
      <c r="T93" s="171">
        <v>27.001999999999999</v>
      </c>
      <c r="U93" s="139">
        <f>T93/T$116</f>
        <v>2.1549688352336783E-4</v>
      </c>
      <c r="V93" s="136">
        <v>2</v>
      </c>
      <c r="W93" s="137">
        <v>455</v>
      </c>
      <c r="X93" s="137">
        <v>122</v>
      </c>
      <c r="Y93" s="171">
        <v>31.593</v>
      </c>
      <c r="Z93" s="139">
        <f>Y93/Y$116</f>
        <v>2.4529452117104926E-4</v>
      </c>
    </row>
    <row r="94" spans="1:26" ht="12.75" hidden="1" customHeight="1" x14ac:dyDescent="0.2">
      <c r="A94" s="114">
        <f>$A$14</f>
        <v>0</v>
      </c>
      <c r="B94" s="36"/>
      <c r="C94" s="10"/>
      <c r="D94" s="10"/>
      <c r="E94" s="154"/>
      <c r="F94" s="37"/>
      <c r="G94" s="53"/>
      <c r="H94" s="54"/>
      <c r="I94" s="54"/>
      <c r="J94" s="164"/>
      <c r="K94" s="56"/>
      <c r="L94" s="136"/>
      <c r="M94" s="137"/>
      <c r="N94" s="137"/>
      <c r="O94" s="171"/>
      <c r="P94" s="139"/>
      <c r="Q94" s="136"/>
      <c r="R94" s="137"/>
      <c r="S94" s="137"/>
      <c r="T94" s="171"/>
      <c r="U94" s="139"/>
      <c r="V94" s="136"/>
      <c r="W94" s="137"/>
      <c r="X94" s="137"/>
      <c r="Y94" s="171"/>
      <c r="Z94" s="139"/>
    </row>
    <row r="95" spans="1:26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  <c r="Q95" s="136"/>
      <c r="R95" s="137"/>
      <c r="S95" s="137"/>
      <c r="T95" s="171"/>
      <c r="U95" s="139"/>
      <c r="V95" s="136"/>
      <c r="W95" s="137"/>
      <c r="X95" s="137"/>
      <c r="Y95" s="171"/>
      <c r="Z95" s="139"/>
    </row>
    <row r="96" spans="1:26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  <c r="Q96" s="136"/>
      <c r="R96" s="137"/>
      <c r="S96" s="137"/>
      <c r="T96" s="171"/>
      <c r="U96" s="139"/>
      <c r="V96" s="136"/>
      <c r="W96" s="137"/>
      <c r="X96" s="137"/>
      <c r="Y96" s="171"/>
      <c r="Z96" s="139"/>
    </row>
    <row r="97" spans="1:2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0.99999999999999989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125301.11599999999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128796.19099999999</v>
      </c>
      <c r="Z116" s="143">
        <f t="shared" si="12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C447"/>
  <sheetViews>
    <sheetView topLeftCell="A8" zoomScaleNormal="100" workbookViewId="0">
      <pane xSplit="1" ySplit="1" topLeftCell="B9" activePane="bottomRight" state="frozen"/>
      <selection pane="topRight"/>
      <selection pane="bottomLeft"/>
      <selection pane="bottomRight"/>
    </sheetView>
  </sheetViews>
  <sheetFormatPr baseColWidth="10" defaultColWidth="8" defaultRowHeight="14.25" x14ac:dyDescent="0.2"/>
  <cols>
    <col min="1" max="1" width="88.125" style="89" customWidth="1"/>
    <col min="2" max="3" width="53.125" style="89" customWidth="1"/>
    <col min="4" max="16384" width="8" style="89"/>
  </cols>
  <sheetData>
    <row r="1" spans="1:3" x14ac:dyDescent="0.2">
      <c r="A1" s="87" t="s">
        <v>173</v>
      </c>
      <c r="B1" s="88">
        <v>1</v>
      </c>
    </row>
    <row r="2" spans="1:3" x14ac:dyDescent="0.2">
      <c r="A2" s="90" t="s">
        <v>174</v>
      </c>
      <c r="B2" s="91">
        <v>2</v>
      </c>
    </row>
    <row r="3" spans="1:3" x14ac:dyDescent="0.2">
      <c r="A3" s="92"/>
    </row>
    <row r="4" spans="1:3" x14ac:dyDescent="0.2">
      <c r="A4" s="92"/>
    </row>
    <row r="5" spans="1:3" x14ac:dyDescent="0.2">
      <c r="A5" s="93" t="s">
        <v>175</v>
      </c>
      <c r="B5" s="94">
        <v>1</v>
      </c>
    </row>
    <row r="6" spans="1:3" x14ac:dyDescent="0.2">
      <c r="A6" s="92"/>
    </row>
    <row r="7" spans="1:3" x14ac:dyDescent="0.2">
      <c r="A7" s="92"/>
    </row>
    <row r="8" spans="1:3" x14ac:dyDescent="0.2">
      <c r="A8" s="93" t="s">
        <v>176</v>
      </c>
      <c r="B8" s="93" t="str">
        <f>A1</f>
        <v>deutsch</v>
      </c>
      <c r="C8" s="93" t="str">
        <f>A2</f>
        <v>français</v>
      </c>
    </row>
    <row r="11" spans="1:3" ht="15" x14ac:dyDescent="0.25">
      <c r="A11" s="95" t="str">
        <f>VLOOKUP(B11,B11:C11,language)</f>
        <v>Erhebung zur finanziellen Lage der Vorsorgeeinrichtungen 2017</v>
      </c>
      <c r="B11" s="95" t="s">
        <v>604</v>
      </c>
      <c r="C11" s="95" t="s">
        <v>605</v>
      </c>
    </row>
    <row r="12" spans="1:3" x14ac:dyDescent="0.2">
      <c r="A12" s="89" t="str">
        <f t="shared" ref="A12:A23" si="0">VLOOKUP(B12,B12:C12,language)</f>
        <v>Datenauswertungen zum Bericht zur finanziellen Lage der Vorsorgeeinrichtungen 2017</v>
      </c>
      <c r="B12" s="105" t="s">
        <v>606</v>
      </c>
      <c r="C12" s="105" t="s">
        <v>607</v>
      </c>
    </row>
    <row r="13" spans="1:3" x14ac:dyDescent="0.2">
      <c r="A13" s="89" t="str">
        <f t="shared" si="0"/>
        <v>für weitere Informationen siehe</v>
      </c>
      <c r="B13" s="105" t="s">
        <v>546</v>
      </c>
      <c r="C13" s="105" t="s">
        <v>549</v>
      </c>
    </row>
    <row r="14" spans="1:3" x14ac:dyDescent="0.2">
      <c r="A14" s="89" t="str">
        <f t="shared" si="0"/>
        <v>http://www.oak-bv.admin.ch/de/themen/erhebung-finanzielle-lage/index.html</v>
      </c>
      <c r="B14" s="97" t="s">
        <v>547</v>
      </c>
      <c r="C14" s="97" t="s">
        <v>548</v>
      </c>
    </row>
    <row r="15" spans="1:3" x14ac:dyDescent="0.2">
      <c r="A15" s="89" t="str">
        <f t="shared" si="0"/>
        <v>Siehe http://www.oak-bv.admin.ch/de/themen/erhebung-finanzielle-lage/index.html</v>
      </c>
      <c r="B15" s="105" t="s">
        <v>474</v>
      </c>
      <c r="C15" s="105" t="s">
        <v>473</v>
      </c>
    </row>
    <row r="16" spans="1:3" x14ac:dyDescent="0.2">
      <c r="A16" s="89" t="str">
        <f t="shared" si="0"/>
        <v>Link zum Fragebogen:</v>
      </c>
      <c r="B16" s="89" t="s">
        <v>205</v>
      </c>
      <c r="C16" s="96" t="s">
        <v>206</v>
      </c>
    </row>
    <row r="17" spans="1:3" x14ac:dyDescent="0.2">
      <c r="A17" s="89" t="str">
        <f t="shared" si="0"/>
        <v>Link zu den Erläuterungen:</v>
      </c>
      <c r="B17" s="89" t="s">
        <v>207</v>
      </c>
      <c r="C17" s="96" t="s">
        <v>208</v>
      </c>
    </row>
    <row r="18" spans="1:3" x14ac:dyDescent="0.2">
      <c r="A18" s="89" t="str">
        <f t="shared" si="0"/>
        <v>Link zu den Berechnungen:</v>
      </c>
      <c r="B18" s="89" t="s">
        <v>209</v>
      </c>
      <c r="C18" s="96" t="s">
        <v>210</v>
      </c>
    </row>
    <row r="19" spans="1:3" x14ac:dyDescent="0.2">
      <c r="A19" s="89" t="str">
        <f t="shared" si="0"/>
        <v>Link zum Bericht:</v>
      </c>
      <c r="B19" s="89" t="s">
        <v>211</v>
      </c>
      <c r="C19" s="96" t="s">
        <v>212</v>
      </c>
    </row>
    <row r="20" spans="1:3" x14ac:dyDescent="0.2">
      <c r="A20" s="96" t="str">
        <f t="shared" si="0"/>
        <v>http://www.oak-bv.admin.ch/fileadmin/dateien/themen/Erhebung_finanzielle_Lage/Fragebogen_2017.pdf</v>
      </c>
      <c r="B20" s="89" t="s">
        <v>608</v>
      </c>
      <c r="C20" s="89" t="s">
        <v>609</v>
      </c>
    </row>
    <row r="21" spans="1:3" x14ac:dyDescent="0.2">
      <c r="A21" s="96" t="str">
        <f t="shared" si="0"/>
        <v>http://www.oak-bv.admin.ch/fileadmin/dateien/themen/Erhebung_finanzielle_Lage/Erlaeuterungen_2017.pdf</v>
      </c>
      <c r="B21" s="89" t="s">
        <v>610</v>
      </c>
      <c r="C21" s="89" t="s">
        <v>611</v>
      </c>
    </row>
    <row r="22" spans="1:3" x14ac:dyDescent="0.2">
      <c r="A22" s="96" t="str">
        <f t="shared" si="0"/>
        <v>http://www.oak-bv.admin.ch/fileadmin/dateien/themen/Erhebung_finanzielle_Lage/Berechnungen_2017.pdf</v>
      </c>
      <c r="B22" s="89" t="s">
        <v>612</v>
      </c>
      <c r="C22" s="89" t="s">
        <v>613</v>
      </c>
    </row>
    <row r="23" spans="1:3" x14ac:dyDescent="0.2">
      <c r="A23" s="96" t="str">
        <f t="shared" si="0"/>
        <v>http://www.oak-bv.admin.ch/fileadmin/dateien/Mitteilungen/Bericht_finanzielle_Lage_2017.pdf</v>
      </c>
      <c r="B23" s="89" t="s">
        <v>614</v>
      </c>
      <c r="C23" s="89" t="s">
        <v>615</v>
      </c>
    </row>
    <row r="24" spans="1:3" x14ac:dyDescent="0.2">
      <c r="A24" s="89" t="str">
        <f>VLOOKUP(B24,B24:C24,language)</f>
        <v>Abbildung</v>
      </c>
      <c r="B24" s="105" t="s">
        <v>428</v>
      </c>
      <c r="C24" s="105" t="s">
        <v>431</v>
      </c>
    </row>
    <row r="25" spans="1:3" x14ac:dyDescent="0.2">
      <c r="A25" s="89" t="str">
        <f>VLOOKUP(B25,B25:C25,language)</f>
        <v>Abbildungen</v>
      </c>
      <c r="B25" s="105" t="s">
        <v>429</v>
      </c>
      <c r="C25" s="105" t="s">
        <v>432</v>
      </c>
    </row>
    <row r="26" spans="1:3" x14ac:dyDescent="0.2">
      <c r="A26" s="89" t="str">
        <f>VLOOKUP(B26,B26:C26,language)</f>
        <v>und</v>
      </c>
      <c r="B26" s="105" t="s">
        <v>430</v>
      </c>
      <c r="C26" s="105" t="s">
        <v>433</v>
      </c>
    </row>
    <row r="27" spans="1:3" x14ac:dyDescent="0.2">
      <c r="A27" s="89" t="str">
        <f>VLOOKUP(B27,B27:C27,language)</f>
        <v>Bonus</v>
      </c>
      <c r="B27" s="105" t="s">
        <v>582</v>
      </c>
      <c r="C27" s="105" t="s">
        <v>582</v>
      </c>
    </row>
    <row r="28" spans="1:3" x14ac:dyDescent="0.2">
      <c r="A28" s="89" t="str">
        <f>VLOOKUP(B28,B28:C28,language)</f>
        <v>zurück zur Übersicht</v>
      </c>
      <c r="B28" s="105" t="s">
        <v>214</v>
      </c>
      <c r="C28" s="105" t="s">
        <v>434</v>
      </c>
    </row>
    <row r="29" spans="1:3" x14ac:dyDescent="0.2">
      <c r="A29" s="89" t="str">
        <f t="shared" ref="A29:A32" si="1">VLOOKUP(B29,B29:C29,language)</f>
        <v>alle Vorsorgeeinrichtungen</v>
      </c>
      <c r="B29" s="106" t="s">
        <v>59</v>
      </c>
      <c r="C29" s="106" t="s">
        <v>448</v>
      </c>
    </row>
    <row r="30" spans="1:3" x14ac:dyDescent="0.2">
      <c r="A30" s="89" t="str">
        <f t="shared" si="1"/>
        <v>Vorsorgeeinrichtungen ohne Staatsgarantie</v>
      </c>
      <c r="B30" s="106" t="s">
        <v>61</v>
      </c>
      <c r="C30" s="106" t="s">
        <v>446</v>
      </c>
    </row>
    <row r="31" spans="1:3" x14ac:dyDescent="0.2">
      <c r="A31" s="89" t="str">
        <f t="shared" si="1"/>
        <v>Vorsorgeeinrichtungen mit Staatsgarantie</v>
      </c>
      <c r="B31" s="106" t="s">
        <v>60</v>
      </c>
      <c r="C31" s="106" t="s">
        <v>447</v>
      </c>
    </row>
    <row r="32" spans="1:3" x14ac:dyDescent="0.2">
      <c r="A32" s="89" t="str">
        <f t="shared" si="1"/>
        <v>alle VE</v>
      </c>
      <c r="B32" s="99" t="s">
        <v>169</v>
      </c>
      <c r="C32" t="s">
        <v>452</v>
      </c>
    </row>
    <row r="33" spans="1:3" x14ac:dyDescent="0.2">
      <c r="A33" s="89" t="str">
        <f t="shared" ref="A33:A127" si="2">VLOOKUP(B33,B33:C33,language)</f>
        <v>VE ohne Staatsgarantie</v>
      </c>
      <c r="B33" s="99" t="s">
        <v>110</v>
      </c>
      <c r="C33" t="s">
        <v>453</v>
      </c>
    </row>
    <row r="34" spans="1:3" x14ac:dyDescent="0.2">
      <c r="A34" s="89" t="str">
        <f t="shared" si="2"/>
        <v>VE mit Staatsgarantie</v>
      </c>
      <c r="B34" s="99" t="s">
        <v>111</v>
      </c>
      <c r="C34" t="s">
        <v>454</v>
      </c>
    </row>
    <row r="35" spans="1:3" x14ac:dyDescent="0.2">
      <c r="A35" s="89" t="str">
        <f t="shared" ref="A35:A36" si="3">VLOOKUP(B35,B35:C35,language)</f>
        <v>alle Geldbeträge in Mio. CHF</v>
      </c>
      <c r="B35" t="s">
        <v>170</v>
      </c>
      <c r="C35" t="s">
        <v>456</v>
      </c>
    </row>
    <row r="36" spans="1:3" x14ac:dyDescent="0.2">
      <c r="A36" s="89" t="str">
        <f t="shared" si="3"/>
        <v>alle Anteile und Durchschnitte mit dem Vorsorgekapital gewichtet</v>
      </c>
      <c r="B36" t="s">
        <v>557</v>
      </c>
      <c r="C36" t="s">
        <v>558</v>
      </c>
    </row>
    <row r="37" spans="1:3" x14ac:dyDescent="0.2">
      <c r="A37" s="89" t="str">
        <f t="shared" ref="A37" si="4">VLOOKUP(B37,B37:C37,language)</f>
        <v>Vorsorgekapital in Mio. CHF</v>
      </c>
      <c r="B37" t="s">
        <v>559</v>
      </c>
      <c r="C37" t="s">
        <v>560</v>
      </c>
    </row>
    <row r="38" spans="1:3" x14ac:dyDescent="0.2">
      <c r="A38" s="89">
        <f t="shared" si="2"/>
        <v>2013</v>
      </c>
      <c r="B38">
        <v>2013</v>
      </c>
      <c r="C38">
        <v>2013</v>
      </c>
    </row>
    <row r="39" spans="1:3" x14ac:dyDescent="0.2">
      <c r="A39" s="89">
        <f t="shared" si="2"/>
        <v>2014</v>
      </c>
      <c r="B39">
        <v>2014</v>
      </c>
      <c r="C39">
        <v>2014</v>
      </c>
    </row>
    <row r="40" spans="1:3" x14ac:dyDescent="0.2">
      <c r="A40" s="89">
        <f t="shared" si="2"/>
        <v>2015</v>
      </c>
      <c r="B40">
        <v>2015</v>
      </c>
      <c r="C40">
        <v>2015</v>
      </c>
    </row>
    <row r="41" spans="1:3" x14ac:dyDescent="0.2">
      <c r="A41" s="89">
        <f t="shared" ref="A41" si="5">VLOOKUP(B41,B41:C41,language)</f>
        <v>2016</v>
      </c>
      <c r="B41">
        <v>2016</v>
      </c>
      <c r="C41">
        <v>2016</v>
      </c>
    </row>
    <row r="42" spans="1:3" x14ac:dyDescent="0.2">
      <c r="A42" s="89">
        <f t="shared" ref="A42" si="6">VLOOKUP(B42,B42:C42,language)</f>
        <v>2017</v>
      </c>
      <c r="B42">
        <v>2017</v>
      </c>
      <c r="C42">
        <v>2017</v>
      </c>
    </row>
    <row r="43" spans="1:3" x14ac:dyDescent="0.2">
      <c r="A43" s="89" t="str">
        <f t="shared" ref="A43:A49" si="7">VLOOKUP(B43,B43:C43,language)</f>
        <v>Anzahl VE</v>
      </c>
      <c r="B43" s="89" t="s">
        <v>28</v>
      </c>
      <c r="C43" s="105" t="s">
        <v>449</v>
      </c>
    </row>
    <row r="44" spans="1:3" x14ac:dyDescent="0.2">
      <c r="A44" s="89" t="str">
        <f t="shared" si="7"/>
        <v>Anzahl aktive Versicherte</v>
      </c>
      <c r="B44" s="89" t="s">
        <v>56</v>
      </c>
      <c r="C44" s="105" t="s">
        <v>450</v>
      </c>
    </row>
    <row r="45" spans="1:3" x14ac:dyDescent="0.2">
      <c r="A45" s="89" t="str">
        <f t="shared" si="7"/>
        <v>Anzahl Rentner</v>
      </c>
      <c r="B45" s="89" t="s">
        <v>58</v>
      </c>
      <c r="C45" s="105" t="s">
        <v>228</v>
      </c>
    </row>
    <row r="46" spans="1:3" x14ac:dyDescent="0.2">
      <c r="A46" s="89" t="str">
        <f t="shared" si="7"/>
        <v>Vorsorge-kapital</v>
      </c>
      <c r="B46" s="105" t="s">
        <v>575</v>
      </c>
      <c r="C46" s="105" t="s">
        <v>561</v>
      </c>
    </row>
    <row r="47" spans="1:3" x14ac:dyDescent="0.2">
      <c r="A47" s="89" t="str">
        <f t="shared" si="7"/>
        <v>Anzahl Versicherte</v>
      </c>
      <c r="B47" s="89" t="s">
        <v>57</v>
      </c>
      <c r="C47" s="105" t="s">
        <v>451</v>
      </c>
    </row>
    <row r="48" spans="1:3" x14ac:dyDescent="0.2">
      <c r="A48" s="89" t="str">
        <f t="shared" si="7"/>
        <v>Rentneranteil</v>
      </c>
      <c r="B48" s="89" t="s">
        <v>0</v>
      </c>
      <c r="C48" s="105" t="s">
        <v>477</v>
      </c>
    </row>
    <row r="49" spans="1:3" x14ac:dyDescent="0.2">
      <c r="A49" s="89" t="str">
        <f t="shared" si="7"/>
        <v>Anteil Vorsorge-kapital</v>
      </c>
      <c r="B49" s="105" t="s">
        <v>576</v>
      </c>
      <c r="C49" s="105" t="s">
        <v>562</v>
      </c>
    </row>
    <row r="50" spans="1:3" x14ac:dyDescent="0.2">
      <c r="A50" s="89" t="str">
        <f t="shared" ref="A50:A60" si="8">VLOOKUP(B50,B50:C50,language)</f>
        <v>Gesamt-Risiko</v>
      </c>
      <c r="B50" t="s">
        <v>165</v>
      </c>
      <c r="C50" t="s">
        <v>204</v>
      </c>
    </row>
    <row r="51" spans="1:3" x14ac:dyDescent="0.2">
      <c r="A51" s="89" t="str">
        <f t="shared" si="8"/>
        <v>Risikodimension Deckungsgrad</v>
      </c>
      <c r="B51" t="s">
        <v>571</v>
      </c>
      <c r="C51" t="s">
        <v>462</v>
      </c>
    </row>
    <row r="52" spans="1:3" x14ac:dyDescent="0.2">
      <c r="A52" s="89" t="str">
        <f t="shared" si="8"/>
        <v>Risikodimension Zinsversprechen</v>
      </c>
      <c r="B52" t="s">
        <v>572</v>
      </c>
      <c r="C52" t="s">
        <v>463</v>
      </c>
    </row>
    <row r="53" spans="1:3" x14ac:dyDescent="0.2">
      <c r="A53" s="89" t="str">
        <f t="shared" si="8"/>
        <v>Risikodimension Sanierungsfähigkeit</v>
      </c>
      <c r="B53" t="s">
        <v>573</v>
      </c>
      <c r="C53" t="s">
        <v>464</v>
      </c>
    </row>
    <row r="54" spans="1:3" x14ac:dyDescent="0.2">
      <c r="A54" s="89" t="str">
        <f t="shared" si="8"/>
        <v>Risikodimension Anlagestrategie</v>
      </c>
      <c r="B54" t="s">
        <v>574</v>
      </c>
      <c r="C54" t="s">
        <v>465</v>
      </c>
    </row>
    <row r="55" spans="1:3" x14ac:dyDescent="0.2">
      <c r="A55" s="89" t="str">
        <f t="shared" ref="A55" si="9">VLOOKUP(B55,B55:C55,language)</f>
        <v>Risikostufe</v>
      </c>
      <c r="B55" s="106" t="s">
        <v>53</v>
      </c>
      <c r="C55" s="106" t="s">
        <v>459</v>
      </c>
    </row>
    <row r="56" spans="1:3" x14ac:dyDescent="0.2">
      <c r="A56" s="89" t="str">
        <f t="shared" si="8"/>
        <v>1 – klein</v>
      </c>
      <c r="B56" s="98" t="s">
        <v>115</v>
      </c>
      <c r="C56" s="98" t="s">
        <v>216</v>
      </c>
    </row>
    <row r="57" spans="1:3" x14ac:dyDescent="0.2">
      <c r="A57" s="89" t="str">
        <f t="shared" si="8"/>
        <v>2 – eher klein</v>
      </c>
      <c r="B57" s="98" t="s">
        <v>54</v>
      </c>
      <c r="C57" s="98" t="s">
        <v>217</v>
      </c>
    </row>
    <row r="58" spans="1:3" x14ac:dyDescent="0.2">
      <c r="A58" s="89" t="str">
        <f t="shared" si="8"/>
        <v>3 – mittel</v>
      </c>
      <c r="B58" s="98" t="s">
        <v>116</v>
      </c>
      <c r="C58" s="98" t="s">
        <v>218</v>
      </c>
    </row>
    <row r="59" spans="1:3" x14ac:dyDescent="0.2">
      <c r="A59" s="89" t="str">
        <f t="shared" si="8"/>
        <v>4 – eher hoch</v>
      </c>
      <c r="B59" s="98" t="s">
        <v>55</v>
      </c>
      <c r="C59" s="98" t="s">
        <v>219</v>
      </c>
    </row>
    <row r="60" spans="1:3" x14ac:dyDescent="0.2">
      <c r="A60" s="89" t="str">
        <f t="shared" si="8"/>
        <v>5 – hoch</v>
      </c>
      <c r="B60" s="98" t="s">
        <v>117</v>
      </c>
      <c r="C60" s="98" t="s">
        <v>220</v>
      </c>
    </row>
    <row r="61" spans="1:3" x14ac:dyDescent="0.2">
      <c r="A61" s="89" t="str">
        <f t="shared" si="2"/>
        <v>Rücklaufquote</v>
      </c>
      <c r="B61" t="s">
        <v>167</v>
      </c>
      <c r="C61" t="s">
        <v>221</v>
      </c>
    </row>
    <row r="62" spans="1:3" x14ac:dyDescent="0.2">
      <c r="A62" s="107" t="str">
        <f t="shared" si="2"/>
        <v>Anzahl Fragebogen</v>
      </c>
      <c r="B62" s="98" t="s">
        <v>469</v>
      </c>
      <c r="C62" s="98" t="s">
        <v>470</v>
      </c>
    </row>
    <row r="63" spans="1:3" x14ac:dyDescent="0.2">
      <c r="A63" s="107" t="str">
        <f t="shared" si="2"/>
        <v>Anteil der versandten Fragebogen</v>
      </c>
      <c r="B63" s="98" t="s">
        <v>471</v>
      </c>
      <c r="C63" s="98" t="s">
        <v>472</v>
      </c>
    </row>
    <row r="64" spans="1:3" x14ac:dyDescent="0.2">
      <c r="A64" s="107" t="str">
        <f t="shared" si="2"/>
        <v>Versandte Fragebogen</v>
      </c>
      <c r="B64" s="5" t="s">
        <v>22</v>
      </c>
      <c r="C64" s="5" t="s">
        <v>222</v>
      </c>
    </row>
    <row r="65" spans="1:3" x14ac:dyDescent="0.2">
      <c r="A65" s="107" t="str">
        <f t="shared" ref="A65" si="10">VLOOKUP(B65,B65:C65,language)</f>
        <v>Nicht eingereichte Fragebogen</v>
      </c>
      <c r="B65" s="5" t="s">
        <v>444</v>
      </c>
      <c r="C65" s="5" t="s">
        <v>445</v>
      </c>
    </row>
    <row r="66" spans="1:3" x14ac:dyDescent="0.2">
      <c r="A66" s="107" t="str">
        <f t="shared" si="2"/>
        <v>Eingereichte Fragebogen</v>
      </c>
      <c r="B66" s="5" t="s">
        <v>23</v>
      </c>
      <c r="C66" s="5" t="s">
        <v>223</v>
      </c>
    </row>
    <row r="67" spans="1:3" x14ac:dyDescent="0.2">
      <c r="A67" s="107" t="str">
        <f t="shared" si="2"/>
        <v>davon in Liquidation</v>
      </c>
      <c r="B67" s="3" t="s">
        <v>24</v>
      </c>
      <c r="C67" s="3" t="s">
        <v>224</v>
      </c>
    </row>
    <row r="68" spans="1:3" x14ac:dyDescent="0.2">
      <c r="A68" s="107" t="str">
        <f t="shared" si="2"/>
        <v>davon nicht dem Freizügigkeitsgesetz unterstellt</v>
      </c>
      <c r="B68" s="3" t="s">
        <v>25</v>
      </c>
      <c r="C68" s="3" t="s">
        <v>225</v>
      </c>
    </row>
    <row r="69" spans="1:3" x14ac:dyDescent="0.2">
      <c r="A69" s="107" t="str">
        <f t="shared" si="2"/>
        <v>Verwendete Fragebogen</v>
      </c>
      <c r="B69" s="5" t="s">
        <v>26</v>
      </c>
      <c r="C69" s="5" t="s">
        <v>226</v>
      </c>
    </row>
    <row r="70" spans="1:3" x14ac:dyDescent="0.2">
      <c r="A70" s="89" t="str">
        <f t="shared" si="2"/>
        <v>Basisdaten</v>
      </c>
      <c r="B70" t="s">
        <v>168</v>
      </c>
      <c r="C70" t="s">
        <v>455</v>
      </c>
    </row>
    <row r="71" spans="1:3" x14ac:dyDescent="0.2">
      <c r="A71" s="107" t="str">
        <f t="shared" si="2"/>
        <v>Anzahl Vorsorgeeinrichtungen</v>
      </c>
      <c r="B71" s="1" t="s">
        <v>76</v>
      </c>
      <c r="C71" s="1" t="s">
        <v>227</v>
      </c>
    </row>
    <row r="72" spans="1:3" x14ac:dyDescent="0.2">
      <c r="A72" s="107" t="str">
        <f t="shared" si="2"/>
        <v>Anzahl aktive Versicherte</v>
      </c>
      <c r="B72" s="1" t="s">
        <v>56</v>
      </c>
      <c r="C72" s="1" t="s">
        <v>197</v>
      </c>
    </row>
    <row r="73" spans="1:3" x14ac:dyDescent="0.2">
      <c r="A73" s="107" t="str">
        <f t="shared" si="2"/>
        <v>Anzahl Rentner</v>
      </c>
      <c r="B73" s="1" t="s">
        <v>58</v>
      </c>
      <c r="C73" s="1" t="s">
        <v>228</v>
      </c>
    </row>
    <row r="74" spans="1:3" x14ac:dyDescent="0.2">
      <c r="A74" s="107" t="str">
        <f t="shared" si="2"/>
        <v>Basislohnsumme</v>
      </c>
      <c r="B74" s="1" t="s">
        <v>66</v>
      </c>
      <c r="C74" s="1" t="s">
        <v>229</v>
      </c>
    </row>
    <row r="75" spans="1:3" x14ac:dyDescent="0.2">
      <c r="A75" s="107" t="str">
        <f t="shared" si="2"/>
        <v>Versicherte Lohnsumme</v>
      </c>
      <c r="B75" s="1" t="s">
        <v>65</v>
      </c>
      <c r="C75" s="1" t="s">
        <v>198</v>
      </c>
    </row>
    <row r="76" spans="1:3" x14ac:dyDescent="0.2">
      <c r="A76" s="107" t="str">
        <f t="shared" si="2"/>
        <v>Rentensumme</v>
      </c>
      <c r="B76" s="1" t="s">
        <v>67</v>
      </c>
      <c r="C76" s="1" t="s">
        <v>230</v>
      </c>
    </row>
    <row r="77" spans="1:3" x14ac:dyDescent="0.2">
      <c r="A77" s="107" t="str">
        <f t="shared" si="2"/>
        <v>Bilanzsumme</v>
      </c>
      <c r="B77" s="1" t="s">
        <v>1</v>
      </c>
      <c r="C77" s="1" t="s">
        <v>199</v>
      </c>
    </row>
    <row r="78" spans="1:3" x14ac:dyDescent="0.2">
      <c r="A78" s="107" t="str">
        <f t="shared" si="2"/>
        <v>Arbeitgeberbeitragsreserven ohne Verwendungsverzicht</v>
      </c>
      <c r="B78" s="1" t="s">
        <v>68</v>
      </c>
      <c r="C78" s="1" t="s">
        <v>231</v>
      </c>
    </row>
    <row r="79" spans="1:3" x14ac:dyDescent="0.2">
      <c r="A79" s="107" t="str">
        <f t="shared" si="2"/>
        <v>Arbeitgeberbeitragsreserven mit Verwendungsverzicht</v>
      </c>
      <c r="B79" s="1" t="s">
        <v>69</v>
      </c>
      <c r="C79" s="1" t="s">
        <v>232</v>
      </c>
    </row>
    <row r="80" spans="1:3" x14ac:dyDescent="0.2">
      <c r="A80" s="107" t="str">
        <f t="shared" si="2"/>
        <v>BVG-Altersguthaben</v>
      </c>
      <c r="B80" s="1" t="s">
        <v>70</v>
      </c>
      <c r="C80" s="1" t="s">
        <v>233</v>
      </c>
    </row>
    <row r="81" spans="1:3" x14ac:dyDescent="0.2">
      <c r="A81" s="107" t="str">
        <f t="shared" si="2"/>
        <v>Vorsorgekapital aktive Versicherte</v>
      </c>
      <c r="B81" s="1" t="s">
        <v>71</v>
      </c>
      <c r="C81" s="1" t="s">
        <v>234</v>
      </c>
    </row>
    <row r="82" spans="1:3" x14ac:dyDescent="0.2">
      <c r="A82" s="107" t="str">
        <f t="shared" si="2"/>
        <v>Vorsorgekapital Rentner</v>
      </c>
      <c r="B82" s="1" t="s">
        <v>72</v>
      </c>
      <c r="C82" s="1" t="s">
        <v>235</v>
      </c>
    </row>
    <row r="83" spans="1:3" x14ac:dyDescent="0.2">
      <c r="A83" s="107" t="str">
        <f t="shared" si="2"/>
        <v>Technische Rückstellungen</v>
      </c>
      <c r="B83" s="1" t="s">
        <v>73</v>
      </c>
      <c r="C83" s="1" t="s">
        <v>200</v>
      </c>
    </row>
    <row r="84" spans="1:3" x14ac:dyDescent="0.2">
      <c r="A84" s="107" t="str">
        <f t="shared" si="2"/>
        <v>Reglementarische Beiträge</v>
      </c>
      <c r="B84" s="1" t="s">
        <v>74</v>
      </c>
      <c r="C84" s="1" t="s">
        <v>201</v>
      </c>
    </row>
    <row r="85" spans="1:3" x14ac:dyDescent="0.2">
      <c r="A85" s="107" t="str">
        <f t="shared" si="2"/>
        <v>Andere Beiträge</v>
      </c>
      <c r="B85" s="1" t="s">
        <v>75</v>
      </c>
      <c r="C85" s="1" t="s">
        <v>236</v>
      </c>
    </row>
    <row r="86" spans="1:3" x14ac:dyDescent="0.2">
      <c r="A86" s="89" t="str">
        <f t="shared" si="2"/>
        <v>Kennzahlen</v>
      </c>
      <c r="B86" t="s">
        <v>584</v>
      </c>
      <c r="C86" t="s">
        <v>631</v>
      </c>
    </row>
    <row r="87" spans="1:3" x14ac:dyDescent="0.2">
      <c r="A87" s="107" t="str">
        <f t="shared" si="2"/>
        <v>ø Verzinsung Altersguthaben (Beitragsprimat)</v>
      </c>
      <c r="B87" s="1" t="s">
        <v>86</v>
      </c>
      <c r="C87" s="1" t="s">
        <v>628</v>
      </c>
    </row>
    <row r="88" spans="1:3" x14ac:dyDescent="0.2">
      <c r="A88" s="107" t="str">
        <f t="shared" si="2"/>
        <v>ø Technischer Zinssatz</v>
      </c>
      <c r="B88" s="1" t="s">
        <v>83</v>
      </c>
      <c r="C88" s="1" t="s">
        <v>237</v>
      </c>
    </row>
    <row r="89" spans="1:3" x14ac:dyDescent="0.2">
      <c r="A89" s="107" t="str">
        <f t="shared" si="2"/>
        <v>Anteil Generationentafeln</v>
      </c>
      <c r="B89" s="1" t="s">
        <v>77</v>
      </c>
      <c r="C89" s="1" t="s">
        <v>238</v>
      </c>
    </row>
    <row r="90" spans="1:3" x14ac:dyDescent="0.2">
      <c r="A90" s="107" t="str">
        <f t="shared" si="2"/>
        <v>ø Deckungsgrad mit individuellen Grundlagen</v>
      </c>
      <c r="B90" s="1" t="s">
        <v>84</v>
      </c>
      <c r="C90" s="1" t="s">
        <v>239</v>
      </c>
    </row>
    <row r="91" spans="1:3" x14ac:dyDescent="0.2">
      <c r="A91" s="107" t="str">
        <f t="shared" si="2"/>
        <v>ø Deckungsgrad mit einheitlichen Grundlagen</v>
      </c>
      <c r="B91" s="1" t="s">
        <v>85</v>
      </c>
      <c r="C91" s="1" t="s">
        <v>240</v>
      </c>
    </row>
    <row r="92" spans="1:3" x14ac:dyDescent="0.2">
      <c r="A92" s="107" t="str">
        <f t="shared" si="2"/>
        <v>Anteil Unterdeckungen</v>
      </c>
      <c r="B92" s="1" t="s">
        <v>78</v>
      </c>
      <c r="C92" s="1" t="s">
        <v>241</v>
      </c>
    </row>
    <row r="93" spans="1:3" x14ac:dyDescent="0.2">
      <c r="A93" s="107" t="str">
        <f t="shared" si="2"/>
        <v>Anteil Leistungsprimat</v>
      </c>
      <c r="B93" s="1" t="s">
        <v>79</v>
      </c>
      <c r="C93" s="1" t="s">
        <v>629</v>
      </c>
    </row>
    <row r="94" spans="1:3" x14ac:dyDescent="0.2">
      <c r="A94" s="107" t="str">
        <f t="shared" si="2"/>
        <v>ø geplanter Umwandlungssatz (in 5 Jahren, im Alter 65, Beitragsprimat)</v>
      </c>
      <c r="B94" s="1" t="s">
        <v>87</v>
      </c>
      <c r="C94" s="1" t="s">
        <v>630</v>
      </c>
    </row>
    <row r="95" spans="1:3" x14ac:dyDescent="0.2">
      <c r="A95" s="107" t="str">
        <f t="shared" si="2"/>
        <v>ø Zinsversprechen bei Pensionierung (in 5 Jahren)</v>
      </c>
      <c r="B95" s="1" t="s">
        <v>242</v>
      </c>
      <c r="C95" s="1" t="s">
        <v>243</v>
      </c>
    </row>
    <row r="96" spans="1:3" x14ac:dyDescent="0.2">
      <c r="A96" s="107" t="str">
        <f t="shared" si="2"/>
        <v>Anteil registrierte Vorsorgeeinrichtungen</v>
      </c>
      <c r="B96" s="1" t="s">
        <v>80</v>
      </c>
      <c r="C96" s="1" t="s">
        <v>244</v>
      </c>
    </row>
    <row r="97" spans="1:3" x14ac:dyDescent="0.2">
      <c r="A97" s="107" t="str">
        <f t="shared" si="2"/>
        <v>Anteil BVG-Altersguthaben an Vorsorgekapital Aktive</v>
      </c>
      <c r="B97" s="1" t="s">
        <v>81</v>
      </c>
      <c r="C97" s="1" t="s">
        <v>245</v>
      </c>
    </row>
    <row r="98" spans="1:3" x14ac:dyDescent="0.2">
      <c r="A98" s="107" t="str">
        <f t="shared" si="2"/>
        <v>Anteil Rentenverpflichtungen</v>
      </c>
      <c r="B98" s="1" t="s">
        <v>246</v>
      </c>
      <c r="C98" s="1" t="s">
        <v>247</v>
      </c>
    </row>
    <row r="99" spans="1:3" x14ac:dyDescent="0.2">
      <c r="A99" s="107" t="str">
        <f t="shared" si="2"/>
        <v>ø Auswirkung von Sanierungsbeiträgen</v>
      </c>
      <c r="B99" s="1" t="s">
        <v>88</v>
      </c>
      <c r="C99" s="1" t="s">
        <v>248</v>
      </c>
    </row>
    <row r="100" spans="1:3" x14ac:dyDescent="0.2">
      <c r="A100" s="107" t="str">
        <f t="shared" si="2"/>
        <v>ø Auswirkung von Minderverzinsungen</v>
      </c>
      <c r="B100" s="1" t="s">
        <v>89</v>
      </c>
      <c r="C100" s="1" t="s">
        <v>249</v>
      </c>
    </row>
    <row r="101" spans="1:3" x14ac:dyDescent="0.2">
      <c r="A101" s="107" t="str">
        <f t="shared" si="2"/>
        <v>Anteil Sachwerte an Anlagen</v>
      </c>
      <c r="B101" s="1" t="s">
        <v>82</v>
      </c>
      <c r="C101" s="1" t="s">
        <v>250</v>
      </c>
    </row>
    <row r="102" spans="1:3" x14ac:dyDescent="0.2">
      <c r="A102" s="107" t="str">
        <f t="shared" si="2"/>
        <v>ø Nettorendite auf Anlagen</v>
      </c>
      <c r="B102" s="1" t="s">
        <v>90</v>
      </c>
      <c r="C102" s="1" t="s">
        <v>251</v>
      </c>
    </row>
    <row r="103" spans="1:3" x14ac:dyDescent="0.2">
      <c r="A103" s="107" t="str">
        <f t="shared" si="2"/>
        <v>ø Fremdwährungsexposure</v>
      </c>
      <c r="B103" s="1" t="s">
        <v>153</v>
      </c>
      <c r="C103" s="1" t="s">
        <v>252</v>
      </c>
    </row>
    <row r="104" spans="1:3" x14ac:dyDescent="0.2">
      <c r="A104" s="107" t="str">
        <f t="shared" si="2"/>
        <v>ø geschätzte Volatilität</v>
      </c>
      <c r="B104" s="1" t="s">
        <v>563</v>
      </c>
      <c r="C104" s="1" t="s">
        <v>564</v>
      </c>
    </row>
    <row r="105" spans="1:3" x14ac:dyDescent="0.2">
      <c r="A105" s="107" t="str">
        <f t="shared" si="2"/>
        <v>ø Ziel-Wertschwankungsreserven</v>
      </c>
      <c r="B105" s="1" t="s">
        <v>154</v>
      </c>
      <c r="C105" s="1" t="s">
        <v>253</v>
      </c>
    </row>
    <row r="106" spans="1:3" x14ac:dyDescent="0.2">
      <c r="A106" s="89" t="str">
        <f t="shared" si="2"/>
        <v>Verzinsung der Altersguthaben</v>
      </c>
      <c r="B106" t="s">
        <v>254</v>
      </c>
      <c r="C106" t="s">
        <v>632</v>
      </c>
    </row>
    <row r="107" spans="1:3" x14ac:dyDescent="0.2">
      <c r="A107" s="107" t="str">
        <f t="shared" ref="A107:A123" si="11">VLOOKUP(B107,B107:C107,language)</f>
        <v>nicht definiert</v>
      </c>
      <c r="B107" s="1" t="s">
        <v>91</v>
      </c>
      <c r="C107" s="1" t="s">
        <v>310</v>
      </c>
    </row>
    <row r="108" spans="1:3" x14ac:dyDescent="0.2">
      <c r="A108" s="107" t="str">
        <f t="shared" si="11"/>
        <v>unter 0.00%</v>
      </c>
      <c r="B108" s="1" t="s">
        <v>94</v>
      </c>
      <c r="C108" s="1" t="s">
        <v>501</v>
      </c>
    </row>
    <row r="109" spans="1:3" x14ac:dyDescent="0.2">
      <c r="A109" s="107" t="str">
        <f t="shared" si="11"/>
        <v>exakt 0.00%</v>
      </c>
      <c r="B109" s="1" t="s">
        <v>97</v>
      </c>
      <c r="C109" s="1" t="s">
        <v>502</v>
      </c>
    </row>
    <row r="110" spans="1:3" x14ac:dyDescent="0.2">
      <c r="A110" s="107" t="str">
        <f t="shared" si="11"/>
        <v>0.01% – 0.49%</v>
      </c>
      <c r="B110" s="1" t="s">
        <v>503</v>
      </c>
      <c r="C110" s="1" t="s">
        <v>504</v>
      </c>
    </row>
    <row r="111" spans="1:3" x14ac:dyDescent="0.2">
      <c r="A111" s="107" t="str">
        <f t="shared" si="11"/>
        <v>0.50% – 0.99%</v>
      </c>
      <c r="B111" s="1" t="s">
        <v>496</v>
      </c>
      <c r="C111" s="1" t="s">
        <v>505</v>
      </c>
    </row>
    <row r="112" spans="1:3" x14ac:dyDescent="0.2">
      <c r="A112" s="107" t="str">
        <f t="shared" si="11"/>
        <v>1.00% – 1.49%</v>
      </c>
      <c r="B112" s="1" t="s">
        <v>257</v>
      </c>
      <c r="C112" s="1" t="s">
        <v>258</v>
      </c>
    </row>
    <row r="113" spans="1:3" x14ac:dyDescent="0.2">
      <c r="A113" s="107" t="str">
        <f t="shared" si="11"/>
        <v>exakt 1.50%</v>
      </c>
      <c r="B113" s="1" t="s">
        <v>95</v>
      </c>
      <c r="C113" s="1" t="s">
        <v>506</v>
      </c>
    </row>
    <row r="114" spans="1:3" x14ac:dyDescent="0.2">
      <c r="A114" s="107" t="str">
        <f t="shared" si="11"/>
        <v>1.51% – 1.74%</v>
      </c>
      <c r="B114" s="1" t="s">
        <v>498</v>
      </c>
      <c r="C114" s="1" t="s">
        <v>508</v>
      </c>
    </row>
    <row r="115" spans="1:3" x14ac:dyDescent="0.2">
      <c r="A115" s="107" t="str">
        <f t="shared" si="11"/>
        <v>exakt 1.75%</v>
      </c>
      <c r="B115" s="1" t="s">
        <v>96</v>
      </c>
      <c r="C115" s="1" t="s">
        <v>507</v>
      </c>
    </row>
    <row r="116" spans="1:3" x14ac:dyDescent="0.2">
      <c r="A116" s="107" t="str">
        <f t="shared" si="11"/>
        <v>1.76% – 1.99%</v>
      </c>
      <c r="B116" s="1" t="s">
        <v>497</v>
      </c>
      <c r="C116" s="1" t="s">
        <v>509</v>
      </c>
    </row>
    <row r="117" spans="1:3" x14ac:dyDescent="0.2">
      <c r="A117" s="107" t="str">
        <f t="shared" si="11"/>
        <v>2.00% – 2.49%</v>
      </c>
      <c r="B117" s="1" t="s">
        <v>261</v>
      </c>
      <c r="C117" s="1" t="s">
        <v>262</v>
      </c>
    </row>
    <row r="118" spans="1:3" x14ac:dyDescent="0.2">
      <c r="A118" s="107" t="str">
        <f t="shared" si="11"/>
        <v>2.50% – 2.99%</v>
      </c>
      <c r="B118" s="1" t="s">
        <v>118</v>
      </c>
      <c r="C118" s="1" t="s">
        <v>263</v>
      </c>
    </row>
    <row r="119" spans="1:3" x14ac:dyDescent="0.2">
      <c r="A119" s="107" t="str">
        <f t="shared" si="11"/>
        <v>3.00% – 3.49%</v>
      </c>
      <c r="B119" s="1" t="s">
        <v>119</v>
      </c>
      <c r="C119" s="1" t="s">
        <v>269</v>
      </c>
    </row>
    <row r="120" spans="1:3" x14ac:dyDescent="0.2">
      <c r="A120" s="107" t="str">
        <f t="shared" si="11"/>
        <v>3.50% – 3.99%</v>
      </c>
      <c r="B120" s="1" t="s">
        <v>120</v>
      </c>
      <c r="C120" s="1" t="s">
        <v>270</v>
      </c>
    </row>
    <row r="121" spans="1:3" x14ac:dyDescent="0.2">
      <c r="A121" s="107" t="str">
        <f t="shared" si="11"/>
        <v>4.00% – 4.49%</v>
      </c>
      <c r="B121" s="1" t="s">
        <v>121</v>
      </c>
      <c r="C121" s="1" t="s">
        <v>271</v>
      </c>
    </row>
    <row r="122" spans="1:3" x14ac:dyDescent="0.2">
      <c r="A122" s="107" t="str">
        <f t="shared" si="11"/>
        <v>4.50% – 4.99%</v>
      </c>
      <c r="B122" s="1" t="s">
        <v>499</v>
      </c>
      <c r="C122" s="1" t="s">
        <v>510</v>
      </c>
    </row>
    <row r="123" spans="1:3" x14ac:dyDescent="0.2">
      <c r="A123" s="107" t="str">
        <f t="shared" si="11"/>
        <v>5.00% oder höher</v>
      </c>
      <c r="B123" s="1" t="s">
        <v>500</v>
      </c>
      <c r="C123" s="1" t="s">
        <v>511</v>
      </c>
    </row>
    <row r="124" spans="1:3" x14ac:dyDescent="0.2">
      <c r="A124" s="107" t="str">
        <f t="shared" si="2"/>
        <v>unter 1.00%</v>
      </c>
      <c r="B124" s="1" t="s">
        <v>255</v>
      </c>
      <c r="C124" s="1" t="s">
        <v>256</v>
      </c>
    </row>
    <row r="125" spans="1:3" x14ac:dyDescent="0.2">
      <c r="A125" s="107" t="str">
        <f t="shared" si="2"/>
        <v>1.00% – 1.49%</v>
      </c>
      <c r="B125" s="1" t="s">
        <v>257</v>
      </c>
      <c r="C125" s="1" t="s">
        <v>258</v>
      </c>
    </row>
    <row r="126" spans="1:3" x14ac:dyDescent="0.2">
      <c r="A126" s="107" t="str">
        <f t="shared" si="2"/>
        <v>1.50% – 1.99%</v>
      </c>
      <c r="B126" s="1" t="s">
        <v>259</v>
      </c>
      <c r="C126" s="1" t="s">
        <v>260</v>
      </c>
    </row>
    <row r="127" spans="1:3" x14ac:dyDescent="0.2">
      <c r="A127" s="107" t="str">
        <f t="shared" si="2"/>
        <v>2.00% – 2.49%</v>
      </c>
      <c r="B127" s="1" t="s">
        <v>261</v>
      </c>
      <c r="C127" s="1" t="s">
        <v>262</v>
      </c>
    </row>
    <row r="128" spans="1:3" x14ac:dyDescent="0.2">
      <c r="A128" s="107" t="str">
        <f t="shared" ref="A128:A251" si="12">VLOOKUP(B128,B128:C128,language)</f>
        <v>2.50% – 2.99%</v>
      </c>
      <c r="B128" s="1" t="s">
        <v>118</v>
      </c>
      <c r="C128" s="1" t="s">
        <v>263</v>
      </c>
    </row>
    <row r="129" spans="1:3" x14ac:dyDescent="0.2">
      <c r="A129" s="107" t="str">
        <f t="shared" si="12"/>
        <v>3.00% oder höher</v>
      </c>
      <c r="B129" s="1" t="s">
        <v>264</v>
      </c>
      <c r="C129" s="1" t="s">
        <v>265</v>
      </c>
    </row>
    <row r="130" spans="1:3" x14ac:dyDescent="0.2">
      <c r="A130" s="89" t="str">
        <f t="shared" si="12"/>
        <v>Technischer Zinssatz</v>
      </c>
      <c r="B130" t="s">
        <v>583</v>
      </c>
      <c r="C130" t="s">
        <v>266</v>
      </c>
    </row>
    <row r="131" spans="1:3" x14ac:dyDescent="0.2">
      <c r="A131" s="107" t="str">
        <f t="shared" si="12"/>
        <v>keine selbst erbrachten Rentenleistungen</v>
      </c>
      <c r="B131" s="1" t="s">
        <v>267</v>
      </c>
      <c r="C131" s="1" t="s">
        <v>268</v>
      </c>
    </row>
    <row r="132" spans="1:3" x14ac:dyDescent="0.2">
      <c r="A132" s="107" t="str">
        <f t="shared" si="12"/>
        <v>unter 2.00%</v>
      </c>
      <c r="B132" s="1" t="s">
        <v>577</v>
      </c>
      <c r="C132" s="1" t="s">
        <v>578</v>
      </c>
    </row>
    <row r="133" spans="1:3" x14ac:dyDescent="0.2">
      <c r="A133" s="107" t="str">
        <f t="shared" si="12"/>
        <v>2.00% – 2.49%</v>
      </c>
      <c r="B133" s="1" t="s">
        <v>261</v>
      </c>
      <c r="C133" s="1" t="s">
        <v>262</v>
      </c>
    </row>
    <row r="134" spans="1:3" x14ac:dyDescent="0.2">
      <c r="A134" s="107" t="str">
        <f t="shared" si="12"/>
        <v>2.50% – 2.99%</v>
      </c>
      <c r="B134" s="1" t="s">
        <v>118</v>
      </c>
      <c r="C134" s="1" t="s">
        <v>263</v>
      </c>
    </row>
    <row r="135" spans="1:3" x14ac:dyDescent="0.2">
      <c r="A135" s="107" t="str">
        <f t="shared" si="12"/>
        <v>3.00% – 3.49%</v>
      </c>
      <c r="B135" s="1" t="s">
        <v>119</v>
      </c>
      <c r="C135" s="1" t="s">
        <v>269</v>
      </c>
    </row>
    <row r="136" spans="1:3" x14ac:dyDescent="0.2">
      <c r="A136" s="107" t="str">
        <f t="shared" si="12"/>
        <v>3.50% – 3.99%</v>
      </c>
      <c r="B136" s="1" t="s">
        <v>120</v>
      </c>
      <c r="C136" s="1" t="s">
        <v>270</v>
      </c>
    </row>
    <row r="137" spans="1:3" x14ac:dyDescent="0.2">
      <c r="A137" s="107" t="str">
        <f t="shared" si="12"/>
        <v>4.00% oder höher</v>
      </c>
      <c r="B137" s="1" t="s">
        <v>579</v>
      </c>
      <c r="C137" s="1" t="s">
        <v>580</v>
      </c>
    </row>
    <row r="138" spans="1:3" x14ac:dyDescent="0.2">
      <c r="A138" s="89" t="str">
        <f t="shared" si="12"/>
        <v>Zinsversprechen für zukünftige Rentenleistungen</v>
      </c>
      <c r="B138" t="s">
        <v>624</v>
      </c>
      <c r="C138" t="s">
        <v>633</v>
      </c>
    </row>
    <row r="139" spans="1:3" x14ac:dyDescent="0.2">
      <c r="A139" s="107" t="str">
        <f t="shared" si="12"/>
        <v>Versicherung / nur Kapitalien</v>
      </c>
      <c r="B139" s="1" t="s">
        <v>51</v>
      </c>
      <c r="C139" s="1" t="s">
        <v>550</v>
      </c>
    </row>
    <row r="140" spans="1:3" x14ac:dyDescent="0.2">
      <c r="A140" s="107" t="str">
        <f t="shared" si="12"/>
        <v>unter 2.00%</v>
      </c>
      <c r="B140" s="1" t="s">
        <v>577</v>
      </c>
      <c r="C140" s="1" t="s">
        <v>578</v>
      </c>
    </row>
    <row r="141" spans="1:3" x14ac:dyDescent="0.2">
      <c r="A141" s="107" t="str">
        <f t="shared" si="12"/>
        <v>2.00% – 2.49%</v>
      </c>
      <c r="B141" s="1" t="s">
        <v>261</v>
      </c>
      <c r="C141" s="1" t="s">
        <v>262</v>
      </c>
    </row>
    <row r="142" spans="1:3" x14ac:dyDescent="0.2">
      <c r="A142" s="107" t="str">
        <f t="shared" si="12"/>
        <v>2.50% – 2.99%</v>
      </c>
      <c r="B142" s="1" t="s">
        <v>118</v>
      </c>
      <c r="C142" s="1" t="s">
        <v>263</v>
      </c>
    </row>
    <row r="143" spans="1:3" x14ac:dyDescent="0.2">
      <c r="A143" s="107" t="str">
        <f t="shared" si="12"/>
        <v>3.00% – 3.49%</v>
      </c>
      <c r="B143" s="1" t="s">
        <v>119</v>
      </c>
      <c r="C143" s="1" t="s">
        <v>269</v>
      </c>
    </row>
    <row r="144" spans="1:3" x14ac:dyDescent="0.2">
      <c r="A144" s="107" t="str">
        <f t="shared" si="12"/>
        <v>3.50% – 3.99%</v>
      </c>
      <c r="B144" s="1" t="s">
        <v>120</v>
      </c>
      <c r="C144" s="1" t="s">
        <v>270</v>
      </c>
    </row>
    <row r="145" spans="1:3" x14ac:dyDescent="0.2">
      <c r="A145" s="107" t="str">
        <f t="shared" si="12"/>
        <v>4.00% oder höher</v>
      </c>
      <c r="B145" s="1" t="s">
        <v>579</v>
      </c>
      <c r="C145" s="1" t="s">
        <v>580</v>
      </c>
    </row>
    <row r="146" spans="1:3" x14ac:dyDescent="0.2">
      <c r="A146" s="89" t="str">
        <f t="shared" si="12"/>
        <v>Veränderung des technischen Zinses (von 2013 auf 2014)</v>
      </c>
      <c r="B146" t="s">
        <v>543</v>
      </c>
      <c r="C146" s="100" t="s">
        <v>544</v>
      </c>
    </row>
    <row r="147" spans="1:3" x14ac:dyDescent="0.2">
      <c r="A147" s="107" t="str">
        <f t="shared" ref="A147:A157" si="13">VLOOKUP(B147,B147:C147,language)</f>
        <v>nicht definiert</v>
      </c>
      <c r="B147" s="1" t="s">
        <v>91</v>
      </c>
      <c r="C147" s="2" t="s">
        <v>310</v>
      </c>
    </row>
    <row r="148" spans="1:3" x14ac:dyDescent="0.2">
      <c r="A148" s="107" t="str">
        <f t="shared" si="13"/>
        <v>0.01% oder höher</v>
      </c>
      <c r="B148" s="1" t="s">
        <v>495</v>
      </c>
      <c r="C148" s="2" t="s">
        <v>485</v>
      </c>
    </row>
    <row r="149" spans="1:3" x14ac:dyDescent="0.2">
      <c r="A149" s="107" t="str">
        <f t="shared" si="13"/>
        <v>unverändert</v>
      </c>
      <c r="B149" s="108" t="s">
        <v>113</v>
      </c>
      <c r="C149" s="2" t="s">
        <v>274</v>
      </c>
    </row>
    <row r="150" spans="1:3" x14ac:dyDescent="0.2">
      <c r="A150" s="107" t="str">
        <f t="shared" si="13"/>
        <v>-0.25% – -0.01%</v>
      </c>
      <c r="B150" s="98" t="s">
        <v>486</v>
      </c>
      <c r="C150" s="1" t="s">
        <v>478</v>
      </c>
    </row>
    <row r="151" spans="1:3" x14ac:dyDescent="0.2">
      <c r="A151" s="107" t="str">
        <f t="shared" si="13"/>
        <v>-0.50% – -0.26%</v>
      </c>
      <c r="B151" s="98" t="s">
        <v>487</v>
      </c>
      <c r="C151" s="1" t="s">
        <v>479</v>
      </c>
    </row>
    <row r="152" spans="1:3" x14ac:dyDescent="0.2">
      <c r="A152" s="107" t="str">
        <f t="shared" si="13"/>
        <v>-0.75% – -0.51%</v>
      </c>
      <c r="B152" s="98" t="s">
        <v>488</v>
      </c>
      <c r="C152" s="1" t="s">
        <v>480</v>
      </c>
    </row>
    <row r="153" spans="1:3" x14ac:dyDescent="0.2">
      <c r="A153" s="107" t="str">
        <f t="shared" si="13"/>
        <v>-1.00% – -0.76%</v>
      </c>
      <c r="B153" s="98" t="s">
        <v>489</v>
      </c>
      <c r="C153" s="1" t="s">
        <v>481</v>
      </c>
    </row>
    <row r="154" spans="1:3" x14ac:dyDescent="0.2">
      <c r="A154" s="107" t="str">
        <f t="shared" si="13"/>
        <v>-1.50% – -1.01%</v>
      </c>
      <c r="B154" s="98" t="s">
        <v>490</v>
      </c>
      <c r="C154" s="1" t="s">
        <v>482</v>
      </c>
    </row>
    <row r="155" spans="1:3" x14ac:dyDescent="0.2">
      <c r="A155" s="107" t="str">
        <f t="shared" si="13"/>
        <v>-2.00% – -1.51%</v>
      </c>
      <c r="B155" s="98" t="s">
        <v>491</v>
      </c>
      <c r="C155" s="1" t="s">
        <v>483</v>
      </c>
    </row>
    <row r="156" spans="1:3" x14ac:dyDescent="0.2">
      <c r="A156" s="107" t="str">
        <f t="shared" si="13"/>
        <v>-2.50% – -2.01%</v>
      </c>
      <c r="B156" s="98" t="s">
        <v>492</v>
      </c>
      <c r="C156" s="1" t="s">
        <v>484</v>
      </c>
    </row>
    <row r="157" spans="1:3" x14ac:dyDescent="0.2">
      <c r="A157" s="107" t="str">
        <f t="shared" si="13"/>
        <v>-2.51% oder tiefer</v>
      </c>
      <c r="B157" s="98" t="s">
        <v>494</v>
      </c>
      <c r="C157" s="98" t="s">
        <v>493</v>
      </c>
    </row>
    <row r="158" spans="1:3" x14ac:dyDescent="0.2">
      <c r="A158" s="107" t="str">
        <f t="shared" ref="A158" si="14">VLOOKUP(B158,B158:C158,language)</f>
        <v>-1.01% oder tiefer</v>
      </c>
      <c r="B158" s="98" t="s">
        <v>551</v>
      </c>
      <c r="C158" s="98" t="s">
        <v>552</v>
      </c>
    </row>
    <row r="159" spans="1:3" x14ac:dyDescent="0.2">
      <c r="A159" s="107" t="str">
        <f t="shared" si="12"/>
        <v>Erhöhung</v>
      </c>
      <c r="B159" s="1" t="s">
        <v>272</v>
      </c>
      <c r="C159" s="2" t="s">
        <v>273</v>
      </c>
    </row>
    <row r="160" spans="1:3" x14ac:dyDescent="0.2">
      <c r="A160" s="107" t="str">
        <f t="shared" si="12"/>
        <v>unverändert</v>
      </c>
      <c r="B160" s="1" t="s">
        <v>113</v>
      </c>
      <c r="C160" s="2" t="s">
        <v>274</v>
      </c>
    </row>
    <row r="161" spans="1:3" x14ac:dyDescent="0.2">
      <c r="A161" s="107" t="str">
        <f t="shared" si="12"/>
        <v>Reduktion bis 0.50%</v>
      </c>
      <c r="B161" s="101" t="s">
        <v>275</v>
      </c>
      <c r="C161" s="2" t="s">
        <v>276</v>
      </c>
    </row>
    <row r="162" spans="1:3" x14ac:dyDescent="0.2">
      <c r="A162" s="107" t="str">
        <f t="shared" si="12"/>
        <v>Reduktion zwischen 0.51% bis 1.00%</v>
      </c>
      <c r="B162" s="98" t="s">
        <v>277</v>
      </c>
      <c r="C162" s="2" t="s">
        <v>278</v>
      </c>
    </row>
    <row r="163" spans="1:3" x14ac:dyDescent="0.2">
      <c r="A163" s="107" t="str">
        <f t="shared" si="12"/>
        <v>Reduktion über 1.00%</v>
      </c>
      <c r="B163" s="98" t="s">
        <v>279</v>
      </c>
      <c r="C163" s="2" t="s">
        <v>280</v>
      </c>
    </row>
    <row r="164" spans="1:3" x14ac:dyDescent="0.2">
      <c r="A164" s="89" t="str">
        <f t="shared" si="12"/>
        <v>Biometrische Grundlagen</v>
      </c>
      <c r="B164" t="s">
        <v>48</v>
      </c>
      <c r="C164" t="s">
        <v>188</v>
      </c>
    </row>
    <row r="165" spans="1:3" x14ac:dyDescent="0.2">
      <c r="A165" s="107" t="str">
        <f t="shared" ref="A165:A177" si="15">VLOOKUP(B165,B165:C165,language)</f>
        <v>EVK 2000</v>
      </c>
      <c r="B165" s="1" t="s">
        <v>4</v>
      </c>
      <c r="C165" s="2" t="s">
        <v>512</v>
      </c>
    </row>
    <row r="166" spans="1:3" x14ac:dyDescent="0.2">
      <c r="A166" s="107" t="str">
        <f t="shared" si="15"/>
        <v>BVG 2000</v>
      </c>
      <c r="B166" s="1" t="s">
        <v>5</v>
      </c>
      <c r="C166" s="2" t="s">
        <v>189</v>
      </c>
    </row>
    <row r="167" spans="1:3" x14ac:dyDescent="0.2">
      <c r="A167" s="107" t="str">
        <f t="shared" si="15"/>
        <v>BVG 2005</v>
      </c>
      <c r="B167" s="1" t="s">
        <v>6</v>
      </c>
      <c r="C167" s="2" t="s">
        <v>190</v>
      </c>
    </row>
    <row r="168" spans="1:3" x14ac:dyDescent="0.2">
      <c r="A168" s="107" t="str">
        <f t="shared" si="15"/>
        <v>BVG 2010</v>
      </c>
      <c r="B168" s="1" t="s">
        <v>7</v>
      </c>
      <c r="C168" s="2" t="s">
        <v>191</v>
      </c>
    </row>
    <row r="169" spans="1:3" x14ac:dyDescent="0.2">
      <c r="A169" s="107" t="str">
        <f t="shared" ref="A169" si="16">VLOOKUP(B169,B169:C169,language)</f>
        <v>BVG 2015</v>
      </c>
      <c r="B169" s="1" t="s">
        <v>565</v>
      </c>
      <c r="C169" s="2" t="s">
        <v>566</v>
      </c>
    </row>
    <row r="170" spans="1:3" x14ac:dyDescent="0.2">
      <c r="A170" s="107" t="str">
        <f t="shared" si="15"/>
        <v>VZ 1990</v>
      </c>
      <c r="B170" s="1" t="s">
        <v>8</v>
      </c>
      <c r="C170" s="1" t="s">
        <v>8</v>
      </c>
    </row>
    <row r="171" spans="1:3" x14ac:dyDescent="0.2">
      <c r="A171" s="107" t="str">
        <f t="shared" si="15"/>
        <v>VZ 2000</v>
      </c>
      <c r="B171" s="1" t="s">
        <v>9</v>
      </c>
      <c r="C171" s="1" t="s">
        <v>9</v>
      </c>
    </row>
    <row r="172" spans="1:3" x14ac:dyDescent="0.2">
      <c r="A172" s="107" t="str">
        <f t="shared" si="15"/>
        <v>VZ 2005</v>
      </c>
      <c r="B172" s="1" t="s">
        <v>10</v>
      </c>
      <c r="C172" s="2" t="s">
        <v>10</v>
      </c>
    </row>
    <row r="173" spans="1:3" x14ac:dyDescent="0.2">
      <c r="A173" s="107" t="str">
        <f t="shared" si="15"/>
        <v>VZ 2010</v>
      </c>
      <c r="B173" s="5" t="s">
        <v>11</v>
      </c>
      <c r="C173" s="1" t="s">
        <v>11</v>
      </c>
    </row>
    <row r="174" spans="1:3" x14ac:dyDescent="0.2">
      <c r="A174" s="107" t="str">
        <f t="shared" si="15"/>
        <v>Andere</v>
      </c>
      <c r="B174" s="5" t="s">
        <v>12</v>
      </c>
      <c r="C174" s="1" t="s">
        <v>187</v>
      </c>
    </row>
    <row r="175" spans="1:3" x14ac:dyDescent="0.2">
      <c r="A175" s="107" t="str">
        <f t="shared" si="15"/>
        <v>Keine (Versicherungsvertrag)</v>
      </c>
      <c r="B175" s="5" t="s">
        <v>62</v>
      </c>
      <c r="C175" s="1" t="s">
        <v>513</v>
      </c>
    </row>
    <row r="176" spans="1:3" x14ac:dyDescent="0.2">
      <c r="A176" s="107" t="str">
        <f t="shared" si="15"/>
        <v>Keine (temporäre Leistungen)</v>
      </c>
      <c r="B176" s="1" t="s">
        <v>63</v>
      </c>
      <c r="C176" s="1" t="s">
        <v>515</v>
      </c>
    </row>
    <row r="177" spans="1:3" x14ac:dyDescent="0.2">
      <c r="A177" s="107" t="str">
        <f t="shared" si="15"/>
        <v>Keine (Kapitalleistungen)</v>
      </c>
      <c r="B177" s="1" t="s">
        <v>112</v>
      </c>
      <c r="C177" s="1" t="s">
        <v>514</v>
      </c>
    </row>
    <row r="178" spans="1:3" x14ac:dyDescent="0.2">
      <c r="A178" s="107" t="str">
        <f t="shared" si="12"/>
        <v>EVK 2000 und älter</v>
      </c>
      <c r="B178" s="1" t="s">
        <v>281</v>
      </c>
      <c r="C178" s="2" t="s">
        <v>282</v>
      </c>
    </row>
    <row r="179" spans="1:3" x14ac:dyDescent="0.2">
      <c r="A179" s="107" t="str">
        <f t="shared" si="12"/>
        <v>BVG 2005 und älter</v>
      </c>
      <c r="B179" s="1" t="s">
        <v>283</v>
      </c>
      <c r="C179" s="2" t="s">
        <v>284</v>
      </c>
    </row>
    <row r="180" spans="1:3" x14ac:dyDescent="0.2">
      <c r="A180" s="107" t="str">
        <f t="shared" si="12"/>
        <v>BVG 2010</v>
      </c>
      <c r="B180" s="1" t="s">
        <v>7</v>
      </c>
      <c r="C180" s="2" t="s">
        <v>191</v>
      </c>
    </row>
    <row r="181" spans="1:3" x14ac:dyDescent="0.2">
      <c r="A181" s="107" t="str">
        <f t="shared" ref="A181" si="17">VLOOKUP(B181,B181:C181,language)</f>
        <v>BVG 2015</v>
      </c>
      <c r="B181" s="1" t="s">
        <v>565</v>
      </c>
      <c r="C181" s="2" t="s">
        <v>566</v>
      </c>
    </row>
    <row r="182" spans="1:3" x14ac:dyDescent="0.2">
      <c r="A182" s="107" t="str">
        <f t="shared" si="12"/>
        <v>VZ 2005 und älter</v>
      </c>
      <c r="B182" s="1" t="s">
        <v>285</v>
      </c>
      <c r="C182" s="2" t="s">
        <v>286</v>
      </c>
    </row>
    <row r="183" spans="1:3" x14ac:dyDescent="0.2">
      <c r="A183" s="107" t="str">
        <f t="shared" si="12"/>
        <v>VZ 2010</v>
      </c>
      <c r="B183" s="1" t="s">
        <v>11</v>
      </c>
      <c r="C183" s="1" t="s">
        <v>11</v>
      </c>
    </row>
    <row r="184" spans="1:3" x14ac:dyDescent="0.2">
      <c r="A184" s="107" t="str">
        <f t="shared" si="12"/>
        <v>Andere</v>
      </c>
      <c r="B184" s="1" t="s">
        <v>12</v>
      </c>
      <c r="C184" s="1" t="s">
        <v>187</v>
      </c>
    </row>
    <row r="185" spans="1:3" x14ac:dyDescent="0.2">
      <c r="A185" s="107" t="str">
        <f t="shared" si="12"/>
        <v>Keine</v>
      </c>
      <c r="B185" s="1" t="s">
        <v>64</v>
      </c>
      <c r="C185" s="1" t="s">
        <v>192</v>
      </c>
    </row>
    <row r="186" spans="1:3" x14ac:dyDescent="0.2">
      <c r="A186" s="89" t="str">
        <f t="shared" si="12"/>
        <v>Perioden- und Generationentafeln</v>
      </c>
      <c r="B186" t="s">
        <v>215</v>
      </c>
      <c r="C186" t="s">
        <v>287</v>
      </c>
    </row>
    <row r="187" spans="1:3" x14ac:dyDescent="0.2">
      <c r="A187" s="107" t="str">
        <f t="shared" si="12"/>
        <v>Periodentafel</v>
      </c>
      <c r="B187" s="5" t="s">
        <v>49</v>
      </c>
      <c r="C187" s="1" t="s">
        <v>288</v>
      </c>
    </row>
    <row r="188" spans="1:3" x14ac:dyDescent="0.2">
      <c r="A188" s="107" t="str">
        <f t="shared" si="12"/>
        <v>Generationentafel</v>
      </c>
      <c r="B188" s="5" t="s">
        <v>50</v>
      </c>
      <c r="C188" s="1" t="s">
        <v>289</v>
      </c>
    </row>
    <row r="189" spans="1:3" x14ac:dyDescent="0.2">
      <c r="A189" s="107" t="str">
        <f t="shared" si="12"/>
        <v>keine selbst erbrachten Rentenleistungen</v>
      </c>
      <c r="B189" s="5" t="s">
        <v>267</v>
      </c>
      <c r="C189" s="1" t="s">
        <v>268</v>
      </c>
    </row>
    <row r="190" spans="1:3" x14ac:dyDescent="0.2">
      <c r="A190" s="89" t="str">
        <f t="shared" si="12"/>
        <v>Deckungsgrad mit individuellen Grundlagen</v>
      </c>
      <c r="B190" t="s">
        <v>166</v>
      </c>
      <c r="C190" t="s">
        <v>290</v>
      </c>
    </row>
    <row r="191" spans="1:3" x14ac:dyDescent="0.2">
      <c r="A191" s="89" t="str">
        <f t="shared" si="12"/>
        <v>Deckungsgrad mit einheitlichen Grundlagen</v>
      </c>
      <c r="B191" t="s">
        <v>203</v>
      </c>
      <c r="C191" t="s">
        <v>296</v>
      </c>
    </row>
    <row r="192" spans="1:3" x14ac:dyDescent="0.2">
      <c r="A192" s="107" t="str">
        <f t="shared" si="12"/>
        <v>unter 60.0%</v>
      </c>
      <c r="B192" s="1" t="s">
        <v>634</v>
      </c>
      <c r="C192" s="1" t="s">
        <v>635</v>
      </c>
    </row>
    <row r="193" spans="1:3" x14ac:dyDescent="0.2">
      <c r="A193" s="107" t="str">
        <f t="shared" ref="A193:A194" si="18">VLOOKUP(B193,B193:C193,language)</f>
        <v>60.0% – 69.9%</v>
      </c>
      <c r="B193" s="1" t="s">
        <v>636</v>
      </c>
      <c r="C193" s="1" t="s">
        <v>638</v>
      </c>
    </row>
    <row r="194" spans="1:3" x14ac:dyDescent="0.2">
      <c r="A194" s="107" t="str">
        <f t="shared" si="18"/>
        <v>70.0% – 79.9%</v>
      </c>
      <c r="B194" s="1" t="s">
        <v>637</v>
      </c>
      <c r="C194" s="1" t="s">
        <v>639</v>
      </c>
    </row>
    <row r="195" spans="1:3" x14ac:dyDescent="0.2">
      <c r="A195" s="107" t="str">
        <f t="shared" si="12"/>
        <v>80.0% – 89.9%</v>
      </c>
      <c r="B195" s="1" t="s">
        <v>122</v>
      </c>
      <c r="C195" s="1" t="s">
        <v>291</v>
      </c>
    </row>
    <row r="196" spans="1:3" x14ac:dyDescent="0.2">
      <c r="A196" s="107" t="str">
        <f t="shared" si="12"/>
        <v>90.0% – 99.9%</v>
      </c>
      <c r="B196" s="1" t="s">
        <v>123</v>
      </c>
      <c r="C196" s="1" t="s">
        <v>292</v>
      </c>
    </row>
    <row r="197" spans="1:3" x14ac:dyDescent="0.2">
      <c r="A197" s="107" t="str">
        <f t="shared" si="12"/>
        <v>100.0% – 109.9%</v>
      </c>
      <c r="B197" s="1" t="s">
        <v>124</v>
      </c>
      <c r="C197" s="1" t="s">
        <v>293</v>
      </c>
    </row>
    <row r="198" spans="1:3" x14ac:dyDescent="0.2">
      <c r="A198" s="107" t="str">
        <f t="shared" si="12"/>
        <v>110.0% – 119.9%</v>
      </c>
      <c r="B198" s="1" t="s">
        <v>125</v>
      </c>
      <c r="C198" s="1" t="s">
        <v>294</v>
      </c>
    </row>
    <row r="199" spans="1:3" x14ac:dyDescent="0.2">
      <c r="A199" s="107" t="str">
        <f t="shared" si="12"/>
        <v>120.0% oder höher</v>
      </c>
      <c r="B199" s="1" t="s">
        <v>516</v>
      </c>
      <c r="C199" s="1" t="s">
        <v>295</v>
      </c>
    </row>
    <row r="200" spans="1:3" x14ac:dyDescent="0.2">
      <c r="A200" s="89" t="str">
        <f t="shared" ref="A200:A206" si="19">VLOOKUP(B200,B200:C200,language)</f>
        <v>Abweichung vom Zieldeckungsgrad (nur bei Teilkapitalisierung)</v>
      </c>
      <c r="B200" t="s">
        <v>585</v>
      </c>
      <c r="C200" t="s">
        <v>586</v>
      </c>
    </row>
    <row r="201" spans="1:3" x14ac:dyDescent="0.2">
      <c r="A201" s="107" t="str">
        <f t="shared" si="19"/>
        <v>unter -20.0%</v>
      </c>
      <c r="B201" s="1" t="s">
        <v>587</v>
      </c>
      <c r="C201" s="1" t="s">
        <v>593</v>
      </c>
    </row>
    <row r="202" spans="1:3" x14ac:dyDescent="0.2">
      <c r="A202" s="107" t="str">
        <f t="shared" si="19"/>
        <v>-20.0% – -10.1%</v>
      </c>
      <c r="B202" s="98" t="s">
        <v>588</v>
      </c>
      <c r="C202" s="1" t="s">
        <v>595</v>
      </c>
    </row>
    <row r="203" spans="1:3" x14ac:dyDescent="0.2">
      <c r="A203" s="107" t="str">
        <f t="shared" si="19"/>
        <v>-10.0% – -0.1%</v>
      </c>
      <c r="B203" s="98" t="s">
        <v>589</v>
      </c>
      <c r="C203" s="1" t="s">
        <v>594</v>
      </c>
    </row>
    <row r="204" spans="1:3" x14ac:dyDescent="0.2">
      <c r="A204" s="107" t="str">
        <f t="shared" si="19"/>
        <v>0.0% – 9.9%</v>
      </c>
      <c r="B204" s="98" t="s">
        <v>590</v>
      </c>
      <c r="C204" s="1" t="s">
        <v>596</v>
      </c>
    </row>
    <row r="205" spans="1:3" x14ac:dyDescent="0.2">
      <c r="A205" s="107" t="str">
        <f t="shared" si="19"/>
        <v>10.0% – 19.9%</v>
      </c>
      <c r="B205" s="98" t="s">
        <v>591</v>
      </c>
      <c r="C205" s="1" t="s">
        <v>597</v>
      </c>
    </row>
    <row r="206" spans="1:3" x14ac:dyDescent="0.2">
      <c r="A206" s="107" t="str">
        <f t="shared" si="19"/>
        <v>20.0% oder höher</v>
      </c>
      <c r="B206" s="98" t="s">
        <v>592</v>
      </c>
      <c r="C206" s="98" t="s">
        <v>598</v>
      </c>
    </row>
    <row r="207" spans="1:3" x14ac:dyDescent="0.2">
      <c r="A207" s="89" t="str">
        <f t="shared" si="12"/>
        <v>Beitrags- und Leistungsprimat für Altersleistungen</v>
      </c>
      <c r="B207" t="s">
        <v>297</v>
      </c>
      <c r="C207" s="100" t="s">
        <v>625</v>
      </c>
    </row>
    <row r="208" spans="1:3" x14ac:dyDescent="0.2">
      <c r="A208" s="107" t="str">
        <f t="shared" si="12"/>
        <v>Beitragsprimat</v>
      </c>
      <c r="B208" s="1" t="s">
        <v>14</v>
      </c>
      <c r="C208" s="1" t="s">
        <v>626</v>
      </c>
    </row>
    <row r="209" spans="1:3" x14ac:dyDescent="0.2">
      <c r="A209" s="107" t="str">
        <f t="shared" ref="A209" si="20">VLOOKUP(B209,B209:C209,language)</f>
        <v>1e-Einrichtung</v>
      </c>
      <c r="B209" s="1" t="s">
        <v>567</v>
      </c>
      <c r="C209" s="1" t="s">
        <v>568</v>
      </c>
    </row>
    <row r="210" spans="1:3" x14ac:dyDescent="0.2">
      <c r="A210" s="107" t="str">
        <f t="shared" si="12"/>
        <v>Mischform</v>
      </c>
      <c r="B210" s="1" t="s">
        <v>16</v>
      </c>
      <c r="C210" s="1" t="s">
        <v>186</v>
      </c>
    </row>
    <row r="211" spans="1:3" x14ac:dyDescent="0.2">
      <c r="A211" s="107" t="str">
        <f t="shared" si="12"/>
        <v>Andere</v>
      </c>
      <c r="B211" s="1" t="s">
        <v>12</v>
      </c>
      <c r="C211" s="1" t="s">
        <v>187</v>
      </c>
    </row>
    <row r="212" spans="1:3" x14ac:dyDescent="0.2">
      <c r="A212" s="107" t="str">
        <f t="shared" si="12"/>
        <v>Leistungsprimat</v>
      </c>
      <c r="B212" s="1" t="s">
        <v>15</v>
      </c>
      <c r="C212" s="1" t="s">
        <v>627</v>
      </c>
    </row>
    <row r="213" spans="1:3" x14ac:dyDescent="0.2">
      <c r="A213" s="107" t="str">
        <f t="shared" si="12"/>
        <v>Rentnerkasse</v>
      </c>
      <c r="B213" s="1" t="s">
        <v>13</v>
      </c>
      <c r="C213" s="1" t="s">
        <v>298</v>
      </c>
    </row>
    <row r="214" spans="1:3" x14ac:dyDescent="0.2">
      <c r="A214" s="89" t="str">
        <f t="shared" si="12"/>
        <v>Erhöhung Deckungsgrad pro Jahr bei einem Sanierungsbeitrag von 1%</v>
      </c>
      <c r="B214" t="s">
        <v>299</v>
      </c>
      <c r="C214" t="s">
        <v>300</v>
      </c>
    </row>
    <row r="215" spans="1:3" x14ac:dyDescent="0.2">
      <c r="A215" s="89" t="str">
        <f t="shared" ref="A215" si="21">VLOOKUP(B215,B215:C215,language)</f>
        <v>Erhöhung Deckungsgrad um</v>
      </c>
      <c r="B215" t="s">
        <v>52</v>
      </c>
      <c r="C215" t="s">
        <v>460</v>
      </c>
    </row>
    <row r="216" spans="1:3" x14ac:dyDescent="0.2">
      <c r="A216" s="107" t="str">
        <f t="shared" si="12"/>
        <v>0.00% – 0.19%</v>
      </c>
      <c r="B216" s="1" t="s">
        <v>126</v>
      </c>
      <c r="C216" s="1" t="s">
        <v>301</v>
      </c>
    </row>
    <row r="217" spans="1:3" x14ac:dyDescent="0.2">
      <c r="A217" s="107" t="str">
        <f t="shared" si="12"/>
        <v>0.20% – 0.39%</v>
      </c>
      <c r="B217" s="1" t="s">
        <v>127</v>
      </c>
      <c r="C217" s="1" t="s">
        <v>302</v>
      </c>
    </row>
    <row r="218" spans="1:3" x14ac:dyDescent="0.2">
      <c r="A218" s="107" t="str">
        <f t="shared" si="12"/>
        <v>0.40% – 0.59%</v>
      </c>
      <c r="B218" s="1" t="s">
        <v>128</v>
      </c>
      <c r="C218" s="1" t="s">
        <v>303</v>
      </c>
    </row>
    <row r="219" spans="1:3" x14ac:dyDescent="0.2">
      <c r="A219" s="107" t="str">
        <f t="shared" si="12"/>
        <v>0.60% – 0.79%</v>
      </c>
      <c r="B219" s="1" t="s">
        <v>129</v>
      </c>
      <c r="C219" s="1" t="s">
        <v>304</v>
      </c>
    </row>
    <row r="220" spans="1:3" x14ac:dyDescent="0.2">
      <c r="A220" s="107" t="str">
        <f t="shared" si="12"/>
        <v>0.80% – 0.99%</v>
      </c>
      <c r="B220" s="1" t="s">
        <v>130</v>
      </c>
      <c r="C220" s="1" t="s">
        <v>305</v>
      </c>
    </row>
    <row r="221" spans="1:3" x14ac:dyDescent="0.2">
      <c r="A221" s="107" t="str">
        <f t="shared" si="12"/>
        <v>1.00% oder mehr</v>
      </c>
      <c r="B221" s="1" t="s">
        <v>306</v>
      </c>
      <c r="C221" s="1" t="s">
        <v>307</v>
      </c>
    </row>
    <row r="222" spans="1:3" x14ac:dyDescent="0.2">
      <c r="A222" s="89" t="str">
        <f t="shared" si="12"/>
        <v>Anteil der BVG-Altersguthaben</v>
      </c>
      <c r="B222" t="s">
        <v>308</v>
      </c>
      <c r="C222" t="s">
        <v>309</v>
      </c>
    </row>
    <row r="223" spans="1:3" x14ac:dyDescent="0.2">
      <c r="A223" s="107" t="str">
        <f t="shared" ref="A223:A245" si="22">VLOOKUP(B223,B223:C223,language)</f>
        <v>nicht definiert</v>
      </c>
      <c r="B223" s="1" t="s">
        <v>91</v>
      </c>
      <c r="C223" s="2" t="s">
        <v>310</v>
      </c>
    </row>
    <row r="224" spans="1:3" x14ac:dyDescent="0.2">
      <c r="A224" s="107" t="str">
        <f t="shared" si="22"/>
        <v>exakt 0%</v>
      </c>
      <c r="B224" s="1" t="s">
        <v>92</v>
      </c>
      <c r="C224" s="1" t="s">
        <v>517</v>
      </c>
    </row>
    <row r="225" spans="1:3" x14ac:dyDescent="0.2">
      <c r="A225" s="107" t="str">
        <f t="shared" si="22"/>
        <v>0% – 5%</v>
      </c>
      <c r="B225" s="1" t="s">
        <v>131</v>
      </c>
      <c r="C225" s="1" t="s">
        <v>518</v>
      </c>
    </row>
    <row r="226" spans="1:3" x14ac:dyDescent="0.2">
      <c r="A226" s="107" t="str">
        <f t="shared" si="22"/>
        <v>5% – 10%</v>
      </c>
      <c r="B226" s="1" t="s">
        <v>132</v>
      </c>
      <c r="C226" s="1" t="s">
        <v>360</v>
      </c>
    </row>
    <row r="227" spans="1:3" x14ac:dyDescent="0.2">
      <c r="A227" s="107" t="str">
        <f t="shared" si="22"/>
        <v>10% – 15%</v>
      </c>
      <c r="B227" s="1" t="s">
        <v>133</v>
      </c>
      <c r="C227" s="1" t="s">
        <v>362</v>
      </c>
    </row>
    <row r="228" spans="1:3" x14ac:dyDescent="0.2">
      <c r="A228" s="107" t="str">
        <f t="shared" si="22"/>
        <v>15% – 20%</v>
      </c>
      <c r="B228" s="1" t="s">
        <v>134</v>
      </c>
      <c r="C228" s="1" t="s">
        <v>364</v>
      </c>
    </row>
    <row r="229" spans="1:3" x14ac:dyDescent="0.2">
      <c r="A229" s="107" t="str">
        <f t="shared" si="22"/>
        <v>20% – 25%</v>
      </c>
      <c r="B229" s="103" t="s">
        <v>135</v>
      </c>
      <c r="C229" s="1" t="s">
        <v>366</v>
      </c>
    </row>
    <row r="230" spans="1:3" x14ac:dyDescent="0.2">
      <c r="A230" s="107" t="str">
        <f t="shared" si="22"/>
        <v>25% – 30%</v>
      </c>
      <c r="B230" s="1" t="s">
        <v>136</v>
      </c>
      <c r="C230" s="1" t="s">
        <v>519</v>
      </c>
    </row>
    <row r="231" spans="1:3" x14ac:dyDescent="0.2">
      <c r="A231" s="107" t="str">
        <f t="shared" si="22"/>
        <v>30% – 35%</v>
      </c>
      <c r="B231" s="1" t="s">
        <v>137</v>
      </c>
      <c r="C231" s="1" t="s">
        <v>520</v>
      </c>
    </row>
    <row r="232" spans="1:3" x14ac:dyDescent="0.2">
      <c r="A232" s="107" t="str">
        <f t="shared" si="22"/>
        <v>35% – 40%</v>
      </c>
      <c r="B232" s="1" t="s">
        <v>138</v>
      </c>
      <c r="C232" s="1" t="s">
        <v>521</v>
      </c>
    </row>
    <row r="233" spans="1:3" x14ac:dyDescent="0.2">
      <c r="A233" s="107" t="str">
        <f t="shared" si="22"/>
        <v>40% – 45%</v>
      </c>
      <c r="B233" s="1" t="s">
        <v>139</v>
      </c>
      <c r="C233" s="1" t="s">
        <v>522</v>
      </c>
    </row>
    <row r="234" spans="1:3" x14ac:dyDescent="0.2">
      <c r="A234" s="107" t="str">
        <f t="shared" si="22"/>
        <v>45% – 50%</v>
      </c>
      <c r="B234" s="1" t="s">
        <v>140</v>
      </c>
      <c r="C234" s="1" t="s">
        <v>523</v>
      </c>
    </row>
    <row r="235" spans="1:3" x14ac:dyDescent="0.2">
      <c r="A235" s="107" t="str">
        <f t="shared" si="22"/>
        <v>50% – 55%</v>
      </c>
      <c r="B235" s="1" t="s">
        <v>141</v>
      </c>
      <c r="C235" s="1" t="s">
        <v>524</v>
      </c>
    </row>
    <row r="236" spans="1:3" x14ac:dyDescent="0.2">
      <c r="A236" s="107" t="str">
        <f t="shared" si="22"/>
        <v>55% – 60%</v>
      </c>
      <c r="B236" s="1" t="s">
        <v>142</v>
      </c>
      <c r="C236" s="1" t="s">
        <v>525</v>
      </c>
    </row>
    <row r="237" spans="1:3" x14ac:dyDescent="0.2">
      <c r="A237" s="107" t="str">
        <f t="shared" si="22"/>
        <v>60% – 65%</v>
      </c>
      <c r="B237" s="104" t="s">
        <v>143</v>
      </c>
      <c r="C237" s="1" t="s">
        <v>526</v>
      </c>
    </row>
    <row r="238" spans="1:3" x14ac:dyDescent="0.2">
      <c r="A238" s="107" t="str">
        <f t="shared" si="22"/>
        <v>65% – 70%</v>
      </c>
      <c r="B238" s="1" t="s">
        <v>144</v>
      </c>
      <c r="C238" s="1" t="s">
        <v>527</v>
      </c>
    </row>
    <row r="239" spans="1:3" x14ac:dyDescent="0.2">
      <c r="A239" s="107" t="str">
        <f t="shared" si="22"/>
        <v>70% – 75%</v>
      </c>
      <c r="B239" s="1" t="s">
        <v>145</v>
      </c>
      <c r="C239" s="1" t="s">
        <v>528</v>
      </c>
    </row>
    <row r="240" spans="1:3" x14ac:dyDescent="0.2">
      <c r="A240" s="107" t="str">
        <f t="shared" si="22"/>
        <v>75% – 80%</v>
      </c>
      <c r="B240" s="1" t="s">
        <v>146</v>
      </c>
      <c r="C240" s="1" t="s">
        <v>529</v>
      </c>
    </row>
    <row r="241" spans="1:3" x14ac:dyDescent="0.2">
      <c r="A241" s="107" t="str">
        <f t="shared" si="22"/>
        <v>80% – 85%</v>
      </c>
      <c r="B241" s="1" t="s">
        <v>147</v>
      </c>
      <c r="C241" s="1" t="s">
        <v>530</v>
      </c>
    </row>
    <row r="242" spans="1:3" x14ac:dyDescent="0.2">
      <c r="A242" s="107" t="str">
        <f t="shared" si="22"/>
        <v>85% – 90%</v>
      </c>
      <c r="B242" s="1" t="s">
        <v>148</v>
      </c>
      <c r="C242" s="1" t="s">
        <v>531</v>
      </c>
    </row>
    <row r="243" spans="1:3" x14ac:dyDescent="0.2">
      <c r="A243" s="107" t="str">
        <f t="shared" si="22"/>
        <v>90% – 95%</v>
      </c>
      <c r="B243" s="1" t="s">
        <v>149</v>
      </c>
      <c r="C243" s="1" t="s">
        <v>532</v>
      </c>
    </row>
    <row r="244" spans="1:3" x14ac:dyDescent="0.2">
      <c r="A244" s="107" t="str">
        <f t="shared" si="22"/>
        <v>95% – 100%</v>
      </c>
      <c r="B244" s="1" t="s">
        <v>150</v>
      </c>
      <c r="C244" s="1" t="s">
        <v>533</v>
      </c>
    </row>
    <row r="245" spans="1:3" x14ac:dyDescent="0.2">
      <c r="A245" s="107" t="str">
        <f t="shared" si="22"/>
        <v>exakt 100%</v>
      </c>
      <c r="B245" s="1" t="s">
        <v>93</v>
      </c>
      <c r="C245" s="1" t="s">
        <v>534</v>
      </c>
    </row>
    <row r="246" spans="1:3" x14ac:dyDescent="0.2">
      <c r="A246" s="107" t="str">
        <f t="shared" si="12"/>
        <v>nicht definiert</v>
      </c>
      <c r="B246" s="1" t="s">
        <v>91</v>
      </c>
      <c r="C246" s="2" t="s">
        <v>310</v>
      </c>
    </row>
    <row r="247" spans="1:3" x14ac:dyDescent="0.2">
      <c r="A247" s="107" t="str">
        <f t="shared" si="12"/>
        <v>unter 20%</v>
      </c>
      <c r="B247" s="1" t="s">
        <v>311</v>
      </c>
      <c r="C247" s="1" t="s">
        <v>312</v>
      </c>
    </row>
    <row r="248" spans="1:3" x14ac:dyDescent="0.2">
      <c r="A248" s="107" t="str">
        <f t="shared" si="12"/>
        <v>20% – 39%</v>
      </c>
      <c r="B248" s="1" t="s">
        <v>313</v>
      </c>
      <c r="C248" s="1" t="s">
        <v>314</v>
      </c>
    </row>
    <row r="249" spans="1:3" x14ac:dyDescent="0.2">
      <c r="A249" s="107" t="str">
        <f t="shared" si="12"/>
        <v>40% – 59%</v>
      </c>
      <c r="B249" s="1" t="s">
        <v>315</v>
      </c>
      <c r="C249" s="1" t="s">
        <v>316</v>
      </c>
    </row>
    <row r="250" spans="1:3" x14ac:dyDescent="0.2">
      <c r="A250" s="107" t="str">
        <f t="shared" si="12"/>
        <v>60% – 79%</v>
      </c>
      <c r="B250" s="1" t="s">
        <v>317</v>
      </c>
      <c r="C250" s="1" t="s">
        <v>318</v>
      </c>
    </row>
    <row r="251" spans="1:3" x14ac:dyDescent="0.2">
      <c r="A251" s="107" t="str">
        <f t="shared" si="12"/>
        <v>80% – 99%</v>
      </c>
      <c r="B251" s="1" t="s">
        <v>319</v>
      </c>
      <c r="C251" s="1" t="s">
        <v>320</v>
      </c>
    </row>
    <row r="252" spans="1:3" x14ac:dyDescent="0.2">
      <c r="A252" s="107" t="str">
        <f t="shared" ref="A252:A387" si="23">VLOOKUP(B252,B252:C252,language)</f>
        <v>100%</v>
      </c>
      <c r="B252" s="103" t="s">
        <v>324</v>
      </c>
      <c r="C252" s="98" t="s">
        <v>321</v>
      </c>
    </row>
    <row r="253" spans="1:3" x14ac:dyDescent="0.2">
      <c r="A253" s="89" t="str">
        <f t="shared" si="23"/>
        <v>Erhöhung Deckungsgrad pro Jahr bei einer Minderverzinsung von 1%</v>
      </c>
      <c r="B253" t="s">
        <v>322</v>
      </c>
      <c r="C253" s="100" t="s">
        <v>323</v>
      </c>
    </row>
    <row r="254" spans="1:3" x14ac:dyDescent="0.2">
      <c r="A254" s="89" t="str">
        <f t="shared" si="23"/>
        <v>Erhöhung Deckungsgrad um</v>
      </c>
      <c r="B254" t="s">
        <v>52</v>
      </c>
      <c r="C254" t="s">
        <v>460</v>
      </c>
    </row>
    <row r="255" spans="1:3" x14ac:dyDescent="0.2">
      <c r="A255" s="107" t="str">
        <f t="shared" si="23"/>
        <v>0.00% – 0.19%</v>
      </c>
      <c r="B255" s="1" t="s">
        <v>126</v>
      </c>
      <c r="C255" s="1" t="s">
        <v>301</v>
      </c>
    </row>
    <row r="256" spans="1:3" x14ac:dyDescent="0.2">
      <c r="A256" s="107" t="str">
        <f t="shared" si="23"/>
        <v>0.20% – 0.39%</v>
      </c>
      <c r="B256" s="1" t="s">
        <v>127</v>
      </c>
      <c r="C256" s="1" t="s">
        <v>302</v>
      </c>
    </row>
    <row r="257" spans="1:3" x14ac:dyDescent="0.2">
      <c r="A257" s="107" t="str">
        <f t="shared" si="23"/>
        <v>0.40% – 0.59%</v>
      </c>
      <c r="B257" s="1" t="s">
        <v>128</v>
      </c>
      <c r="C257" s="1" t="s">
        <v>303</v>
      </c>
    </row>
    <row r="258" spans="1:3" x14ac:dyDescent="0.2">
      <c r="A258" s="107" t="str">
        <f t="shared" si="23"/>
        <v>0.60% – 0.79%</v>
      </c>
      <c r="B258" s="1" t="s">
        <v>129</v>
      </c>
      <c r="C258" s="1" t="s">
        <v>304</v>
      </c>
    </row>
    <row r="259" spans="1:3" x14ac:dyDescent="0.2">
      <c r="A259" s="107" t="str">
        <f t="shared" si="23"/>
        <v>0.80% – 0.99%</v>
      </c>
      <c r="B259" s="1" t="s">
        <v>130</v>
      </c>
      <c r="C259" s="1" t="s">
        <v>305</v>
      </c>
    </row>
    <row r="260" spans="1:3" x14ac:dyDescent="0.2">
      <c r="A260" s="107" t="str">
        <f t="shared" si="23"/>
        <v>1.00%</v>
      </c>
      <c r="B260" s="104" t="s">
        <v>325</v>
      </c>
      <c r="C260" s="1" t="s">
        <v>326</v>
      </c>
    </row>
    <row r="261" spans="1:3" x14ac:dyDescent="0.2">
      <c r="A261" s="89" t="str">
        <f t="shared" si="23"/>
        <v>Aufteilung der Gesamt-Anlagestrategie in Hauptkategorien</v>
      </c>
      <c r="B261" t="s">
        <v>618</v>
      </c>
      <c r="C261" t="s">
        <v>620</v>
      </c>
    </row>
    <row r="262" spans="1:3" x14ac:dyDescent="0.2">
      <c r="A262" s="107" t="str">
        <f t="shared" si="23"/>
        <v>Liquidität</v>
      </c>
      <c r="B262" s="1" t="s">
        <v>17</v>
      </c>
      <c r="C262" s="1" t="s">
        <v>193</v>
      </c>
    </row>
    <row r="263" spans="1:3" x14ac:dyDescent="0.2">
      <c r="A263" s="107" t="str">
        <f t="shared" si="23"/>
        <v>Forderungen</v>
      </c>
      <c r="B263" s="1" t="s">
        <v>18</v>
      </c>
      <c r="C263" s="1" t="s">
        <v>327</v>
      </c>
    </row>
    <row r="264" spans="1:3" x14ac:dyDescent="0.2">
      <c r="A264" s="107" t="str">
        <f t="shared" si="23"/>
        <v>Immobilien</v>
      </c>
      <c r="B264" s="1" t="s">
        <v>19</v>
      </c>
      <c r="C264" s="1" t="s">
        <v>194</v>
      </c>
    </row>
    <row r="265" spans="1:3" x14ac:dyDescent="0.2">
      <c r="A265" s="107" t="str">
        <f t="shared" si="23"/>
        <v>Aktien</v>
      </c>
      <c r="B265" s="1" t="s">
        <v>20</v>
      </c>
      <c r="C265" s="1" t="s">
        <v>195</v>
      </c>
    </row>
    <row r="266" spans="1:3" x14ac:dyDescent="0.2">
      <c r="A266" s="107" t="str">
        <f t="shared" si="23"/>
        <v>Alternative Anlagen</v>
      </c>
      <c r="B266" s="1" t="s">
        <v>21</v>
      </c>
      <c r="C266" s="1" t="s">
        <v>196</v>
      </c>
    </row>
    <row r="267" spans="1:3" x14ac:dyDescent="0.2">
      <c r="A267" s="89" t="str">
        <f t="shared" si="23"/>
        <v>Sachwertanteile der Anlagestrategien</v>
      </c>
      <c r="B267" t="s">
        <v>328</v>
      </c>
      <c r="C267" t="s">
        <v>329</v>
      </c>
    </row>
    <row r="268" spans="1:3" x14ac:dyDescent="0.2">
      <c r="A268" s="107" t="str">
        <f t="shared" si="23"/>
        <v>nicht definiert</v>
      </c>
      <c r="B268" s="1" t="s">
        <v>91</v>
      </c>
      <c r="C268" s="2" t="s">
        <v>310</v>
      </c>
    </row>
    <row r="269" spans="1:3" x14ac:dyDescent="0.2">
      <c r="A269" s="107" t="str">
        <f t="shared" si="23"/>
        <v>exakt 0%</v>
      </c>
      <c r="B269" s="1" t="s">
        <v>92</v>
      </c>
      <c r="C269" s="1" t="s">
        <v>517</v>
      </c>
    </row>
    <row r="270" spans="1:3" x14ac:dyDescent="0.2">
      <c r="A270" s="107" t="str">
        <f t="shared" si="23"/>
        <v>0% – 5%</v>
      </c>
      <c r="B270" s="1" t="s">
        <v>131</v>
      </c>
      <c r="C270" s="1" t="s">
        <v>518</v>
      </c>
    </row>
    <row r="271" spans="1:3" x14ac:dyDescent="0.2">
      <c r="A271" s="107" t="str">
        <f t="shared" si="23"/>
        <v>5% – 10%</v>
      </c>
      <c r="B271" s="1" t="s">
        <v>132</v>
      </c>
      <c r="C271" s="1" t="s">
        <v>360</v>
      </c>
    </row>
    <row r="272" spans="1:3" x14ac:dyDescent="0.2">
      <c r="A272" s="107" t="str">
        <f t="shared" si="23"/>
        <v>10% – 15%</v>
      </c>
      <c r="B272" s="1" t="s">
        <v>133</v>
      </c>
      <c r="C272" s="1" t="s">
        <v>362</v>
      </c>
    </row>
    <row r="273" spans="1:3" x14ac:dyDescent="0.2">
      <c r="A273" s="107" t="str">
        <f t="shared" si="23"/>
        <v>15% – 20%</v>
      </c>
      <c r="B273" s="1" t="s">
        <v>134</v>
      </c>
      <c r="C273" s="1" t="s">
        <v>364</v>
      </c>
    </row>
    <row r="274" spans="1:3" x14ac:dyDescent="0.2">
      <c r="A274" s="107" t="str">
        <f t="shared" si="23"/>
        <v>20% – 25%</v>
      </c>
      <c r="B274" s="103" t="s">
        <v>135</v>
      </c>
      <c r="C274" s="1" t="s">
        <v>366</v>
      </c>
    </row>
    <row r="275" spans="1:3" x14ac:dyDescent="0.2">
      <c r="A275" s="107" t="str">
        <f t="shared" si="23"/>
        <v>25% – 30%</v>
      </c>
      <c r="B275" s="1" t="s">
        <v>136</v>
      </c>
      <c r="C275" s="1" t="s">
        <v>519</v>
      </c>
    </row>
    <row r="276" spans="1:3" x14ac:dyDescent="0.2">
      <c r="A276" s="107" t="str">
        <f t="shared" si="23"/>
        <v>30% – 35%</v>
      </c>
      <c r="B276" s="1" t="s">
        <v>137</v>
      </c>
      <c r="C276" s="1" t="s">
        <v>520</v>
      </c>
    </row>
    <row r="277" spans="1:3" x14ac:dyDescent="0.2">
      <c r="A277" s="107" t="str">
        <f t="shared" si="23"/>
        <v>35% – 40%</v>
      </c>
      <c r="B277" s="1" t="s">
        <v>138</v>
      </c>
      <c r="C277" s="1" t="s">
        <v>521</v>
      </c>
    </row>
    <row r="278" spans="1:3" x14ac:dyDescent="0.2">
      <c r="A278" s="107" t="str">
        <f t="shared" si="23"/>
        <v>40% – 45%</v>
      </c>
      <c r="B278" s="1" t="s">
        <v>139</v>
      </c>
      <c r="C278" s="1" t="s">
        <v>522</v>
      </c>
    </row>
    <row r="279" spans="1:3" x14ac:dyDescent="0.2">
      <c r="A279" s="107" t="str">
        <f t="shared" si="23"/>
        <v>45% – 50%</v>
      </c>
      <c r="B279" s="1" t="s">
        <v>140</v>
      </c>
      <c r="C279" s="1" t="s">
        <v>523</v>
      </c>
    </row>
    <row r="280" spans="1:3" x14ac:dyDescent="0.2">
      <c r="A280" s="107" t="str">
        <f t="shared" si="23"/>
        <v>50% – 55%</v>
      </c>
      <c r="B280" s="1" t="s">
        <v>141</v>
      </c>
      <c r="C280" s="1" t="s">
        <v>524</v>
      </c>
    </row>
    <row r="281" spans="1:3" x14ac:dyDescent="0.2">
      <c r="A281" s="107" t="str">
        <f t="shared" si="23"/>
        <v>55% – 60%</v>
      </c>
      <c r="B281" s="1" t="s">
        <v>142</v>
      </c>
      <c r="C281" s="1" t="s">
        <v>525</v>
      </c>
    </row>
    <row r="282" spans="1:3" x14ac:dyDescent="0.2">
      <c r="A282" s="107" t="str">
        <f t="shared" si="23"/>
        <v>60% – 65%</v>
      </c>
      <c r="B282" s="104" t="s">
        <v>143</v>
      </c>
      <c r="C282" s="1" t="s">
        <v>526</v>
      </c>
    </row>
    <row r="283" spans="1:3" x14ac:dyDescent="0.2">
      <c r="A283" s="107" t="str">
        <f t="shared" si="23"/>
        <v>65% – 70%</v>
      </c>
      <c r="B283" s="1" t="s">
        <v>144</v>
      </c>
      <c r="C283" s="1" t="s">
        <v>527</v>
      </c>
    </row>
    <row r="284" spans="1:3" x14ac:dyDescent="0.2">
      <c r="A284" s="107" t="str">
        <f t="shared" si="23"/>
        <v>70% – 75%</v>
      </c>
      <c r="B284" s="1" t="s">
        <v>145</v>
      </c>
      <c r="C284" s="1" t="s">
        <v>528</v>
      </c>
    </row>
    <row r="285" spans="1:3" x14ac:dyDescent="0.2">
      <c r="A285" s="107" t="str">
        <f t="shared" si="23"/>
        <v>75% – 80%</v>
      </c>
      <c r="B285" s="1" t="s">
        <v>146</v>
      </c>
      <c r="C285" s="1" t="s">
        <v>529</v>
      </c>
    </row>
    <row r="286" spans="1:3" x14ac:dyDescent="0.2">
      <c r="A286" s="107" t="str">
        <f t="shared" si="23"/>
        <v>80% – 85%</v>
      </c>
      <c r="B286" s="1" t="s">
        <v>147</v>
      </c>
      <c r="C286" s="1" t="s">
        <v>530</v>
      </c>
    </row>
    <row r="287" spans="1:3" x14ac:dyDescent="0.2">
      <c r="A287" s="107" t="str">
        <f t="shared" si="23"/>
        <v>85% – 90%</v>
      </c>
      <c r="B287" s="1" t="s">
        <v>148</v>
      </c>
      <c r="C287" s="1" t="s">
        <v>531</v>
      </c>
    </row>
    <row r="288" spans="1:3" x14ac:dyDescent="0.2">
      <c r="A288" s="107" t="str">
        <f t="shared" si="23"/>
        <v>90% – 95%</v>
      </c>
      <c r="B288" s="1" t="s">
        <v>149</v>
      </c>
      <c r="C288" s="1" t="s">
        <v>532</v>
      </c>
    </row>
    <row r="289" spans="1:3" x14ac:dyDescent="0.2">
      <c r="A289" s="107" t="str">
        <f t="shared" si="23"/>
        <v>95% – 100%</v>
      </c>
      <c r="B289" s="1" t="s">
        <v>150</v>
      </c>
      <c r="C289" s="1" t="s">
        <v>533</v>
      </c>
    </row>
    <row r="290" spans="1:3" x14ac:dyDescent="0.2">
      <c r="A290" s="107" t="str">
        <f t="shared" si="23"/>
        <v>exakt 100%</v>
      </c>
      <c r="B290" s="1" t="s">
        <v>93</v>
      </c>
      <c r="C290" s="1" t="s">
        <v>534</v>
      </c>
    </row>
    <row r="291" spans="1:3" x14ac:dyDescent="0.2">
      <c r="A291" s="107" t="str">
        <f t="shared" si="23"/>
        <v>unter 40%</v>
      </c>
      <c r="B291" s="1" t="s">
        <v>330</v>
      </c>
      <c r="C291" s="1" t="s">
        <v>331</v>
      </c>
    </row>
    <row r="292" spans="1:3" x14ac:dyDescent="0.2">
      <c r="A292" s="107" t="str">
        <f t="shared" si="23"/>
        <v>40% – 49%</v>
      </c>
      <c r="B292" s="98" t="s">
        <v>332</v>
      </c>
      <c r="C292" s="1" t="s">
        <v>333</v>
      </c>
    </row>
    <row r="293" spans="1:3" x14ac:dyDescent="0.2">
      <c r="A293" s="107" t="str">
        <f t="shared" si="23"/>
        <v>50% – 59%</v>
      </c>
      <c r="B293" s="98" t="s">
        <v>334</v>
      </c>
      <c r="C293" s="1" t="s">
        <v>335</v>
      </c>
    </row>
    <row r="294" spans="1:3" x14ac:dyDescent="0.2">
      <c r="A294" s="107" t="str">
        <f t="shared" si="23"/>
        <v>60% – 69%</v>
      </c>
      <c r="B294" s="98" t="s">
        <v>336</v>
      </c>
      <c r="C294" s="1" t="s">
        <v>337</v>
      </c>
    </row>
    <row r="295" spans="1:3" x14ac:dyDescent="0.2">
      <c r="A295" s="107" t="str">
        <f t="shared" si="23"/>
        <v>70% oder höher</v>
      </c>
      <c r="B295" s="1" t="s">
        <v>338</v>
      </c>
      <c r="C295" s="1" t="s">
        <v>339</v>
      </c>
    </row>
    <row r="296" spans="1:3" x14ac:dyDescent="0.2">
      <c r="A296" s="89" t="str">
        <f t="shared" si="23"/>
        <v>Aufteilung der Gesamt-Anlagestrategie in Subkategorien</v>
      </c>
      <c r="B296" t="s">
        <v>619</v>
      </c>
      <c r="C296" t="s">
        <v>621</v>
      </c>
    </row>
    <row r="297" spans="1:3" x14ac:dyDescent="0.2">
      <c r="A297" s="89" t="str">
        <f t="shared" si="23"/>
        <v>Aufteilung der Gesamt-Anlagestrategie</v>
      </c>
      <c r="B297" t="s">
        <v>622</v>
      </c>
      <c r="C297" t="s">
        <v>623</v>
      </c>
    </row>
    <row r="298" spans="1:3" x14ac:dyDescent="0.2">
      <c r="A298" s="107" t="str">
        <f t="shared" si="23"/>
        <v>Liquidität</v>
      </c>
      <c r="B298" s="1" t="s">
        <v>17</v>
      </c>
      <c r="C298" s="1" t="s">
        <v>193</v>
      </c>
    </row>
    <row r="299" spans="1:3" x14ac:dyDescent="0.2">
      <c r="A299" s="107" t="str">
        <f t="shared" si="23"/>
        <v>Staatsanleihen CHF</v>
      </c>
      <c r="B299" s="1" t="s">
        <v>155</v>
      </c>
      <c r="C299" s="1" t="s">
        <v>340</v>
      </c>
    </row>
    <row r="300" spans="1:3" x14ac:dyDescent="0.2">
      <c r="A300" s="107" t="str">
        <f t="shared" si="23"/>
        <v>Unternehmensanleihen CHF</v>
      </c>
      <c r="B300" s="1" t="s">
        <v>156</v>
      </c>
      <c r="C300" s="1" t="s">
        <v>341</v>
      </c>
    </row>
    <row r="301" spans="1:3" x14ac:dyDescent="0.2">
      <c r="A301" s="107" t="str">
        <f t="shared" si="23"/>
        <v>Obligationen Fremdwährungen</v>
      </c>
      <c r="B301" s="1" t="s">
        <v>157</v>
      </c>
      <c r="C301" s="1" t="s">
        <v>342</v>
      </c>
    </row>
    <row r="302" spans="1:3" x14ac:dyDescent="0.2">
      <c r="A302" s="107" t="str">
        <f t="shared" si="23"/>
        <v>Wohnimmobilien Schweiz Direktanlagen</v>
      </c>
      <c r="B302" s="1" t="s">
        <v>98</v>
      </c>
      <c r="C302" s="1" t="s">
        <v>343</v>
      </c>
    </row>
    <row r="303" spans="1:3" x14ac:dyDescent="0.2">
      <c r="A303" s="107" t="str">
        <f t="shared" si="23"/>
        <v>Geschäftsimmobilien Schweiz Direktanlagen</v>
      </c>
      <c r="B303" s="1" t="s">
        <v>99</v>
      </c>
      <c r="C303" s="1" t="s">
        <v>344</v>
      </c>
    </row>
    <row r="304" spans="1:3" x14ac:dyDescent="0.2">
      <c r="A304" s="107" t="str">
        <f t="shared" si="23"/>
        <v xml:space="preserve">Immobilienfonds Schweiz </v>
      </c>
      <c r="B304" s="1" t="s">
        <v>100</v>
      </c>
      <c r="C304" s="1" t="s">
        <v>345</v>
      </c>
    </row>
    <row r="305" spans="1:3" x14ac:dyDescent="0.2">
      <c r="A305" s="107" t="str">
        <f t="shared" si="23"/>
        <v>Immobilien Ausland</v>
      </c>
      <c r="B305" s="1" t="s">
        <v>101</v>
      </c>
      <c r="C305" s="1" t="s">
        <v>346</v>
      </c>
    </row>
    <row r="306" spans="1:3" x14ac:dyDescent="0.2">
      <c r="A306" s="107" t="str">
        <f t="shared" si="23"/>
        <v>Aktien Schweiz</v>
      </c>
      <c r="B306" s="1" t="s">
        <v>102</v>
      </c>
      <c r="C306" s="1" t="s">
        <v>347</v>
      </c>
    </row>
    <row r="307" spans="1:3" x14ac:dyDescent="0.2">
      <c r="A307" s="107" t="str">
        <f t="shared" si="23"/>
        <v>Aktien Industrieländer</v>
      </c>
      <c r="B307" s="1" t="s">
        <v>103</v>
      </c>
      <c r="C307" s="1" t="s">
        <v>348</v>
      </c>
    </row>
    <row r="308" spans="1:3" x14ac:dyDescent="0.2">
      <c r="A308" s="107" t="str">
        <f t="shared" si="23"/>
        <v>Aktien Emerging Markets</v>
      </c>
      <c r="B308" s="1" t="s">
        <v>104</v>
      </c>
      <c r="C308" s="1" t="s">
        <v>349</v>
      </c>
    </row>
    <row r="309" spans="1:3" x14ac:dyDescent="0.2">
      <c r="A309" s="107" t="str">
        <f t="shared" si="23"/>
        <v>Hedge Funds</v>
      </c>
      <c r="B309" s="1" t="s">
        <v>105</v>
      </c>
      <c r="C309" s="1" t="s">
        <v>350</v>
      </c>
    </row>
    <row r="310" spans="1:3" x14ac:dyDescent="0.2">
      <c r="A310" s="107" t="str">
        <f t="shared" si="23"/>
        <v>Private Equity</v>
      </c>
      <c r="B310" s="1" t="s">
        <v>106</v>
      </c>
      <c r="C310" s="1" t="s">
        <v>351</v>
      </c>
    </row>
    <row r="311" spans="1:3" x14ac:dyDescent="0.2">
      <c r="A311" s="107" t="str">
        <f t="shared" si="23"/>
        <v>Infrastrukturanlagen</v>
      </c>
      <c r="B311" s="1" t="s">
        <v>107</v>
      </c>
      <c r="C311" s="1" t="s">
        <v>352</v>
      </c>
    </row>
    <row r="312" spans="1:3" x14ac:dyDescent="0.2">
      <c r="A312" s="107" t="str">
        <f t="shared" si="23"/>
        <v>Alternative Forderungen</v>
      </c>
      <c r="B312" s="1" t="s">
        <v>108</v>
      </c>
      <c r="C312" s="1" t="s">
        <v>353</v>
      </c>
    </row>
    <row r="313" spans="1:3" x14ac:dyDescent="0.2">
      <c r="A313" s="107" t="str">
        <f t="shared" si="23"/>
        <v>Andere alternative Anlagen</v>
      </c>
      <c r="B313" s="1" t="s">
        <v>109</v>
      </c>
      <c r="C313" s="1" t="s">
        <v>354</v>
      </c>
    </row>
    <row r="314" spans="1:3" x14ac:dyDescent="0.2">
      <c r="A314" s="89" t="str">
        <f t="shared" si="23"/>
        <v>mit der Bilanzsumme gewichtete Anlagestrategie</v>
      </c>
      <c r="B314" t="s">
        <v>476</v>
      </c>
      <c r="C314" t="s">
        <v>475</v>
      </c>
    </row>
    <row r="315" spans="1:3" x14ac:dyDescent="0.2">
      <c r="A315" s="89" t="str">
        <f t="shared" si="23"/>
        <v>Fremdwährungsexposure</v>
      </c>
      <c r="B315" t="s">
        <v>355</v>
      </c>
      <c r="C315" t="s">
        <v>356</v>
      </c>
    </row>
    <row r="316" spans="1:3" x14ac:dyDescent="0.2">
      <c r="A316" s="107" t="str">
        <f t="shared" ref="A316:A338" si="24">VLOOKUP(B316,B316:C316,language)</f>
        <v>nicht definiert</v>
      </c>
      <c r="B316" s="1" t="s">
        <v>91</v>
      </c>
      <c r="C316" s="2" t="s">
        <v>310</v>
      </c>
    </row>
    <row r="317" spans="1:3" x14ac:dyDescent="0.2">
      <c r="A317" s="107" t="str">
        <f t="shared" si="24"/>
        <v>exakt 0%</v>
      </c>
      <c r="B317" s="1" t="s">
        <v>92</v>
      </c>
      <c r="C317" s="1" t="s">
        <v>517</v>
      </c>
    </row>
    <row r="318" spans="1:3" x14ac:dyDescent="0.2">
      <c r="A318" s="107" t="str">
        <f t="shared" si="24"/>
        <v>0% – 5%</v>
      </c>
      <c r="B318" s="1" t="s">
        <v>131</v>
      </c>
      <c r="C318" s="1" t="s">
        <v>518</v>
      </c>
    </row>
    <row r="319" spans="1:3" x14ac:dyDescent="0.2">
      <c r="A319" s="107" t="str">
        <f t="shared" si="24"/>
        <v>5% – 10%</v>
      </c>
      <c r="B319" s="1" t="s">
        <v>132</v>
      </c>
      <c r="C319" s="1" t="s">
        <v>360</v>
      </c>
    </row>
    <row r="320" spans="1:3" x14ac:dyDescent="0.2">
      <c r="A320" s="107" t="str">
        <f t="shared" si="24"/>
        <v>10% – 15%</v>
      </c>
      <c r="B320" s="1" t="s">
        <v>133</v>
      </c>
      <c r="C320" s="1" t="s">
        <v>362</v>
      </c>
    </row>
    <row r="321" spans="1:3" x14ac:dyDescent="0.2">
      <c r="A321" s="107" t="str">
        <f t="shared" si="24"/>
        <v>15% – 20%</v>
      </c>
      <c r="B321" s="1" t="s">
        <v>134</v>
      </c>
      <c r="C321" s="1" t="s">
        <v>364</v>
      </c>
    </row>
    <row r="322" spans="1:3" x14ac:dyDescent="0.2">
      <c r="A322" s="107" t="str">
        <f t="shared" si="24"/>
        <v>20% – 25%</v>
      </c>
      <c r="B322" s="103" t="s">
        <v>135</v>
      </c>
      <c r="C322" s="1" t="s">
        <v>366</v>
      </c>
    </row>
    <row r="323" spans="1:3" x14ac:dyDescent="0.2">
      <c r="A323" s="107" t="str">
        <f t="shared" si="24"/>
        <v>25% – 30%</v>
      </c>
      <c r="B323" s="1" t="s">
        <v>136</v>
      </c>
      <c r="C323" s="1" t="s">
        <v>519</v>
      </c>
    </row>
    <row r="324" spans="1:3" x14ac:dyDescent="0.2">
      <c r="A324" s="107" t="str">
        <f t="shared" si="24"/>
        <v>30% – 35%</v>
      </c>
      <c r="B324" s="1" t="s">
        <v>137</v>
      </c>
      <c r="C324" s="1" t="s">
        <v>520</v>
      </c>
    </row>
    <row r="325" spans="1:3" x14ac:dyDescent="0.2">
      <c r="A325" s="107" t="str">
        <f t="shared" si="24"/>
        <v>35% – 40%</v>
      </c>
      <c r="B325" s="1" t="s">
        <v>138</v>
      </c>
      <c r="C325" s="1" t="s">
        <v>521</v>
      </c>
    </row>
    <row r="326" spans="1:3" x14ac:dyDescent="0.2">
      <c r="A326" s="107" t="str">
        <f t="shared" si="24"/>
        <v>40% – 45%</v>
      </c>
      <c r="B326" s="1" t="s">
        <v>139</v>
      </c>
      <c r="C326" s="1" t="s">
        <v>522</v>
      </c>
    </row>
    <row r="327" spans="1:3" x14ac:dyDescent="0.2">
      <c r="A327" s="107" t="str">
        <f t="shared" si="24"/>
        <v>45% – 50%</v>
      </c>
      <c r="B327" s="1" t="s">
        <v>140</v>
      </c>
      <c r="C327" s="1" t="s">
        <v>523</v>
      </c>
    </row>
    <row r="328" spans="1:3" x14ac:dyDescent="0.2">
      <c r="A328" s="107" t="str">
        <f t="shared" si="24"/>
        <v>50% – 55%</v>
      </c>
      <c r="B328" s="1" t="s">
        <v>141</v>
      </c>
      <c r="C328" s="1" t="s">
        <v>524</v>
      </c>
    </row>
    <row r="329" spans="1:3" x14ac:dyDescent="0.2">
      <c r="A329" s="107" t="str">
        <f t="shared" si="24"/>
        <v>55% – 60%</v>
      </c>
      <c r="B329" s="1" t="s">
        <v>142</v>
      </c>
      <c r="C329" s="1" t="s">
        <v>525</v>
      </c>
    </row>
    <row r="330" spans="1:3" x14ac:dyDescent="0.2">
      <c r="A330" s="107" t="str">
        <f t="shared" si="24"/>
        <v>60% – 65%</v>
      </c>
      <c r="B330" s="104" t="s">
        <v>143</v>
      </c>
      <c r="C330" s="1" t="s">
        <v>526</v>
      </c>
    </row>
    <row r="331" spans="1:3" x14ac:dyDescent="0.2">
      <c r="A331" s="107" t="str">
        <f t="shared" si="24"/>
        <v>65% – 70%</v>
      </c>
      <c r="B331" s="1" t="s">
        <v>144</v>
      </c>
      <c r="C331" s="1" t="s">
        <v>527</v>
      </c>
    </row>
    <row r="332" spans="1:3" x14ac:dyDescent="0.2">
      <c r="A332" s="107" t="str">
        <f t="shared" si="24"/>
        <v>70% – 75%</v>
      </c>
      <c r="B332" s="1" t="s">
        <v>145</v>
      </c>
      <c r="C332" s="1" t="s">
        <v>528</v>
      </c>
    </row>
    <row r="333" spans="1:3" x14ac:dyDescent="0.2">
      <c r="A333" s="107" t="str">
        <f t="shared" si="24"/>
        <v>75% – 80%</v>
      </c>
      <c r="B333" s="1" t="s">
        <v>146</v>
      </c>
      <c r="C333" s="1" t="s">
        <v>529</v>
      </c>
    </row>
    <row r="334" spans="1:3" x14ac:dyDescent="0.2">
      <c r="A334" s="107" t="str">
        <f t="shared" si="24"/>
        <v>80% – 85%</v>
      </c>
      <c r="B334" s="1" t="s">
        <v>147</v>
      </c>
      <c r="C334" s="1" t="s">
        <v>530</v>
      </c>
    </row>
    <row r="335" spans="1:3" x14ac:dyDescent="0.2">
      <c r="A335" s="107" t="str">
        <f t="shared" si="24"/>
        <v>85% – 90%</v>
      </c>
      <c r="B335" s="1" t="s">
        <v>148</v>
      </c>
      <c r="C335" s="1" t="s">
        <v>531</v>
      </c>
    </row>
    <row r="336" spans="1:3" x14ac:dyDescent="0.2">
      <c r="A336" s="107" t="str">
        <f t="shared" si="24"/>
        <v>90% – 95%</v>
      </c>
      <c r="B336" s="1" t="s">
        <v>149</v>
      </c>
      <c r="C336" s="1" t="s">
        <v>532</v>
      </c>
    </row>
    <row r="337" spans="1:3" x14ac:dyDescent="0.2">
      <c r="A337" s="107" t="str">
        <f t="shared" si="24"/>
        <v>95% – 100%</v>
      </c>
      <c r="B337" s="1" t="s">
        <v>150</v>
      </c>
      <c r="C337" s="1" t="s">
        <v>533</v>
      </c>
    </row>
    <row r="338" spans="1:3" x14ac:dyDescent="0.2">
      <c r="A338" s="107" t="str">
        <f t="shared" si="24"/>
        <v>exakt 100%</v>
      </c>
      <c r="B338" s="1" t="s">
        <v>93</v>
      </c>
      <c r="C338" s="1" t="s">
        <v>534</v>
      </c>
    </row>
    <row r="339" spans="1:3" x14ac:dyDescent="0.2">
      <c r="A339" s="107" t="str">
        <f t="shared" si="23"/>
        <v>unter 5%</v>
      </c>
      <c r="B339" s="98" t="s">
        <v>357</v>
      </c>
      <c r="C339" s="1" t="s">
        <v>358</v>
      </c>
    </row>
    <row r="340" spans="1:3" x14ac:dyDescent="0.2">
      <c r="A340" s="107" t="str">
        <f t="shared" si="23"/>
        <v>5% – 9%</v>
      </c>
      <c r="B340" s="98" t="s">
        <v>359</v>
      </c>
      <c r="C340" s="1" t="s">
        <v>360</v>
      </c>
    </row>
    <row r="341" spans="1:3" x14ac:dyDescent="0.2">
      <c r="A341" s="107" t="str">
        <f t="shared" si="23"/>
        <v>10% – 14%</v>
      </c>
      <c r="B341" s="98" t="s">
        <v>361</v>
      </c>
      <c r="C341" s="1" t="s">
        <v>362</v>
      </c>
    </row>
    <row r="342" spans="1:3" x14ac:dyDescent="0.2">
      <c r="A342" s="107" t="str">
        <f t="shared" si="23"/>
        <v>15% – 19%</v>
      </c>
      <c r="B342" s="98" t="s">
        <v>363</v>
      </c>
      <c r="C342" s="1" t="s">
        <v>364</v>
      </c>
    </row>
    <row r="343" spans="1:3" x14ac:dyDescent="0.2">
      <c r="A343" s="107" t="str">
        <f t="shared" si="23"/>
        <v>20% – 24%</v>
      </c>
      <c r="B343" s="98" t="s">
        <v>365</v>
      </c>
      <c r="C343" s="1" t="s">
        <v>366</v>
      </c>
    </row>
    <row r="344" spans="1:3" x14ac:dyDescent="0.2">
      <c r="A344" s="107" t="str">
        <f t="shared" si="23"/>
        <v>25% oder mehr</v>
      </c>
      <c r="B344" s="1" t="s">
        <v>367</v>
      </c>
      <c r="C344" s="1" t="s">
        <v>368</v>
      </c>
    </row>
    <row r="345" spans="1:3" x14ac:dyDescent="0.2">
      <c r="A345" s="89" t="str">
        <f t="shared" si="23"/>
        <v>Geschätzte Volatilität</v>
      </c>
      <c r="B345" t="s">
        <v>569</v>
      </c>
      <c r="C345" t="s">
        <v>570</v>
      </c>
    </row>
    <row r="346" spans="1:3" x14ac:dyDescent="0.2">
      <c r="A346" s="107" t="str">
        <f t="shared" si="23"/>
        <v>nicht definiert</v>
      </c>
      <c r="B346" s="1" t="s">
        <v>91</v>
      </c>
      <c r="C346" s="2" t="s">
        <v>310</v>
      </c>
    </row>
    <row r="347" spans="1:3" x14ac:dyDescent="0.2">
      <c r="A347" s="107" t="str">
        <f t="shared" si="23"/>
        <v>unter 1.0%</v>
      </c>
      <c r="B347" s="1" t="s">
        <v>600</v>
      </c>
      <c r="C347" s="2" t="s">
        <v>601</v>
      </c>
    </row>
    <row r="348" spans="1:3" x14ac:dyDescent="0.2">
      <c r="A348" s="107" t="str">
        <f t="shared" si="23"/>
        <v>1.0% – 2.9%</v>
      </c>
      <c r="B348" s="1" t="s">
        <v>370</v>
      </c>
      <c r="C348" s="1" t="s">
        <v>371</v>
      </c>
    </row>
    <row r="349" spans="1:3" x14ac:dyDescent="0.2">
      <c r="A349" s="107" t="str">
        <f t="shared" si="23"/>
        <v>3.0% – 4.9%</v>
      </c>
      <c r="B349" s="1" t="s">
        <v>372</v>
      </c>
      <c r="C349" s="1" t="s">
        <v>373</v>
      </c>
    </row>
    <row r="350" spans="1:3" x14ac:dyDescent="0.2">
      <c r="A350" s="107" t="str">
        <f t="shared" si="23"/>
        <v>5.0% – 6.9%</v>
      </c>
      <c r="B350" s="1" t="s">
        <v>374</v>
      </c>
      <c r="C350" s="1" t="s">
        <v>375</v>
      </c>
    </row>
    <row r="351" spans="1:3" x14ac:dyDescent="0.2">
      <c r="A351" s="107" t="str">
        <f t="shared" si="23"/>
        <v>7.0% – 8.9%</v>
      </c>
      <c r="B351" s="1" t="s">
        <v>376</v>
      </c>
      <c r="C351" s="1" t="s">
        <v>377</v>
      </c>
    </row>
    <row r="352" spans="1:3" x14ac:dyDescent="0.2">
      <c r="A352" s="107" t="str">
        <f t="shared" si="23"/>
        <v>9.0% oder höher</v>
      </c>
      <c r="B352" s="102" t="s">
        <v>602</v>
      </c>
      <c r="C352" s="1" t="s">
        <v>603</v>
      </c>
    </row>
    <row r="353" spans="1:3" x14ac:dyDescent="0.2">
      <c r="A353" s="89" t="str">
        <f t="shared" si="23"/>
        <v>Ziel-Wertschwankungsreserven</v>
      </c>
      <c r="B353" t="s">
        <v>380</v>
      </c>
      <c r="C353" t="s">
        <v>381</v>
      </c>
    </row>
    <row r="354" spans="1:3" x14ac:dyDescent="0.2">
      <c r="A354" s="107" t="str">
        <f t="shared" si="23"/>
        <v>nicht definiert</v>
      </c>
      <c r="B354" s="1" t="s">
        <v>91</v>
      </c>
      <c r="C354" s="2" t="s">
        <v>310</v>
      </c>
    </row>
    <row r="355" spans="1:3" x14ac:dyDescent="0.2">
      <c r="A355" s="107" t="str">
        <f t="shared" si="23"/>
        <v>exakt 0%</v>
      </c>
      <c r="B355" s="1" t="s">
        <v>92</v>
      </c>
      <c r="C355" s="1" t="s">
        <v>517</v>
      </c>
    </row>
    <row r="356" spans="1:3" x14ac:dyDescent="0.2">
      <c r="A356" s="107" t="str">
        <f t="shared" si="23"/>
        <v>0% – 5%</v>
      </c>
      <c r="B356" s="1" t="s">
        <v>131</v>
      </c>
      <c r="C356" s="1" t="s">
        <v>518</v>
      </c>
    </row>
    <row r="357" spans="1:3" x14ac:dyDescent="0.2">
      <c r="A357" s="107" t="str">
        <f t="shared" si="23"/>
        <v>5% – 10%</v>
      </c>
      <c r="B357" s="1" t="s">
        <v>132</v>
      </c>
      <c r="C357" s="1" t="s">
        <v>360</v>
      </c>
    </row>
    <row r="358" spans="1:3" x14ac:dyDescent="0.2">
      <c r="A358" s="107" t="str">
        <f t="shared" si="23"/>
        <v>10% – 15%</v>
      </c>
      <c r="B358" s="1" t="s">
        <v>133</v>
      </c>
      <c r="C358" s="1" t="s">
        <v>362</v>
      </c>
    </row>
    <row r="359" spans="1:3" x14ac:dyDescent="0.2">
      <c r="A359" s="107" t="str">
        <f t="shared" si="23"/>
        <v>15% – 20%</v>
      </c>
      <c r="B359" s="1" t="s">
        <v>134</v>
      </c>
      <c r="C359" s="1" t="s">
        <v>364</v>
      </c>
    </row>
    <row r="360" spans="1:3" x14ac:dyDescent="0.2">
      <c r="A360" s="107" t="str">
        <f t="shared" si="23"/>
        <v>20% – 25%</v>
      </c>
      <c r="B360" s="103" t="s">
        <v>135</v>
      </c>
      <c r="C360" s="1" t="s">
        <v>366</v>
      </c>
    </row>
    <row r="361" spans="1:3" x14ac:dyDescent="0.2">
      <c r="A361" s="107" t="str">
        <f t="shared" si="23"/>
        <v>25% – 30%</v>
      </c>
      <c r="B361" s="1" t="s">
        <v>136</v>
      </c>
      <c r="C361" s="1" t="s">
        <v>519</v>
      </c>
    </row>
    <row r="362" spans="1:3" x14ac:dyDescent="0.2">
      <c r="A362" s="107" t="str">
        <f t="shared" si="23"/>
        <v>30% – 35%</v>
      </c>
      <c r="B362" s="1" t="s">
        <v>137</v>
      </c>
      <c r="C362" s="1" t="s">
        <v>520</v>
      </c>
    </row>
    <row r="363" spans="1:3" x14ac:dyDescent="0.2">
      <c r="A363" s="107" t="str">
        <f t="shared" si="23"/>
        <v>35% – 40%</v>
      </c>
      <c r="B363" s="1" t="s">
        <v>138</v>
      </c>
      <c r="C363" s="1" t="s">
        <v>521</v>
      </c>
    </row>
    <row r="364" spans="1:3" x14ac:dyDescent="0.2">
      <c r="A364" s="107" t="str">
        <f t="shared" si="23"/>
        <v>40% – 45%</v>
      </c>
      <c r="B364" s="1" t="s">
        <v>139</v>
      </c>
      <c r="C364" s="1" t="s">
        <v>522</v>
      </c>
    </row>
    <row r="365" spans="1:3" x14ac:dyDescent="0.2">
      <c r="A365" s="107" t="str">
        <f t="shared" si="23"/>
        <v>45% – 50%</v>
      </c>
      <c r="B365" s="1" t="s">
        <v>140</v>
      </c>
      <c r="C365" s="1" t="s">
        <v>523</v>
      </c>
    </row>
    <row r="366" spans="1:3" x14ac:dyDescent="0.2">
      <c r="A366" s="107" t="str">
        <f t="shared" si="23"/>
        <v>50% – 55%</v>
      </c>
      <c r="B366" s="1" t="s">
        <v>141</v>
      </c>
      <c r="C366" s="1" t="s">
        <v>524</v>
      </c>
    </row>
    <row r="367" spans="1:3" x14ac:dyDescent="0.2">
      <c r="A367" s="107" t="str">
        <f t="shared" si="23"/>
        <v>55% – 60%</v>
      </c>
      <c r="B367" s="1" t="s">
        <v>142</v>
      </c>
      <c r="C367" s="1" t="s">
        <v>525</v>
      </c>
    </row>
    <row r="368" spans="1:3" x14ac:dyDescent="0.2">
      <c r="A368" s="107" t="str">
        <f t="shared" si="23"/>
        <v>60% – 65%</v>
      </c>
      <c r="B368" s="104" t="s">
        <v>143</v>
      </c>
      <c r="C368" s="1" t="s">
        <v>526</v>
      </c>
    </row>
    <row r="369" spans="1:3" x14ac:dyDescent="0.2">
      <c r="A369" s="107" t="str">
        <f t="shared" si="23"/>
        <v>65% – 70%</v>
      </c>
      <c r="B369" s="1" t="s">
        <v>144</v>
      </c>
      <c r="C369" s="1" t="s">
        <v>527</v>
      </c>
    </row>
    <row r="370" spans="1:3" x14ac:dyDescent="0.2">
      <c r="A370" s="107" t="str">
        <f t="shared" si="23"/>
        <v>70% – 75%</v>
      </c>
      <c r="B370" s="1" t="s">
        <v>145</v>
      </c>
      <c r="C370" s="1" t="s">
        <v>528</v>
      </c>
    </row>
    <row r="371" spans="1:3" x14ac:dyDescent="0.2">
      <c r="A371" s="107" t="str">
        <f t="shared" si="23"/>
        <v>75% – 80%</v>
      </c>
      <c r="B371" s="1" t="s">
        <v>146</v>
      </c>
      <c r="C371" s="1" t="s">
        <v>529</v>
      </c>
    </row>
    <row r="372" spans="1:3" x14ac:dyDescent="0.2">
      <c r="A372" s="107" t="str">
        <f t="shared" si="23"/>
        <v>80% – 85%</v>
      </c>
      <c r="B372" s="1" t="s">
        <v>147</v>
      </c>
      <c r="C372" s="1" t="s">
        <v>530</v>
      </c>
    </row>
    <row r="373" spans="1:3" x14ac:dyDescent="0.2">
      <c r="A373" s="107" t="str">
        <f t="shared" si="23"/>
        <v>85% – 90%</v>
      </c>
      <c r="B373" s="1" t="s">
        <v>148</v>
      </c>
      <c r="C373" s="1" t="s">
        <v>531</v>
      </c>
    </row>
    <row r="374" spans="1:3" x14ac:dyDescent="0.2">
      <c r="A374" s="107" t="str">
        <f t="shared" si="23"/>
        <v>90% – 95%</v>
      </c>
      <c r="B374" s="1" t="s">
        <v>149</v>
      </c>
      <c r="C374" s="1" t="s">
        <v>532</v>
      </c>
    </row>
    <row r="375" spans="1:3" x14ac:dyDescent="0.2">
      <c r="A375" s="107" t="str">
        <f t="shared" si="23"/>
        <v>95% – 100%</v>
      </c>
      <c r="B375" s="1" t="s">
        <v>150</v>
      </c>
      <c r="C375" s="1" t="s">
        <v>533</v>
      </c>
    </row>
    <row r="376" spans="1:3" x14ac:dyDescent="0.2">
      <c r="A376" s="107" t="str">
        <f t="shared" si="23"/>
        <v>exakt 100%</v>
      </c>
      <c r="B376" s="1" t="s">
        <v>93</v>
      </c>
      <c r="C376" s="1" t="s">
        <v>534</v>
      </c>
    </row>
    <row r="377" spans="1:3" x14ac:dyDescent="0.2">
      <c r="A377" s="107" t="str">
        <f t="shared" si="23"/>
        <v>unter 5%</v>
      </c>
      <c r="B377" s="98" t="s">
        <v>357</v>
      </c>
      <c r="C377" s="1" t="s">
        <v>358</v>
      </c>
    </row>
    <row r="378" spans="1:3" x14ac:dyDescent="0.2">
      <c r="A378" s="107" t="str">
        <f t="shared" si="23"/>
        <v>5% – 9%</v>
      </c>
      <c r="B378" s="98" t="s">
        <v>359</v>
      </c>
      <c r="C378" s="1" t="s">
        <v>360</v>
      </c>
    </row>
    <row r="379" spans="1:3" x14ac:dyDescent="0.2">
      <c r="A379" s="107" t="str">
        <f t="shared" si="23"/>
        <v>10% – 14%</v>
      </c>
      <c r="B379" s="98" t="s">
        <v>361</v>
      </c>
      <c r="C379" s="1" t="s">
        <v>362</v>
      </c>
    </row>
    <row r="380" spans="1:3" x14ac:dyDescent="0.2">
      <c r="A380" s="107" t="str">
        <f t="shared" si="23"/>
        <v>15% – 19%</v>
      </c>
      <c r="B380" s="98" t="s">
        <v>363</v>
      </c>
      <c r="C380" s="1" t="s">
        <v>364</v>
      </c>
    </row>
    <row r="381" spans="1:3" x14ac:dyDescent="0.2">
      <c r="A381" s="107" t="str">
        <f t="shared" si="23"/>
        <v>20% – 24%</v>
      </c>
      <c r="B381" s="98" t="s">
        <v>365</v>
      </c>
      <c r="C381" s="1" t="s">
        <v>366</v>
      </c>
    </row>
    <row r="382" spans="1:3" x14ac:dyDescent="0.2">
      <c r="A382" s="107" t="str">
        <f t="shared" si="23"/>
        <v>25% oder höher</v>
      </c>
      <c r="B382" s="1" t="s">
        <v>382</v>
      </c>
      <c r="C382" s="1" t="s">
        <v>368</v>
      </c>
    </row>
    <row r="383" spans="1:3" x14ac:dyDescent="0.2">
      <c r="A383" s="89" t="str">
        <f t="shared" si="23"/>
        <v>Sanierungsmassnahmen</v>
      </c>
      <c r="B383" t="s">
        <v>202</v>
      </c>
      <c r="C383" s="4" t="s">
        <v>383</v>
      </c>
    </row>
    <row r="384" spans="1:3" x14ac:dyDescent="0.2">
      <c r="A384" s="89" t="str">
        <f t="shared" si="23"/>
        <v>Vorsorgeeinrichtungen in Unterdeckung</v>
      </c>
      <c r="B384" s="105" t="s">
        <v>164</v>
      </c>
      <c r="C384" t="s">
        <v>384</v>
      </c>
    </row>
    <row r="385" spans="1:3" x14ac:dyDescent="0.2">
      <c r="A385" s="89" t="str">
        <f>VLOOKUP(B385,B385:C385,language)</f>
        <v>Anzahl VE mit getroffenen Massnahmen</v>
      </c>
      <c r="B385" s="105" t="s">
        <v>457</v>
      </c>
      <c r="C385" s="4" t="s">
        <v>427</v>
      </c>
    </row>
    <row r="386" spans="1:3" x14ac:dyDescent="0.2">
      <c r="A386" s="107" t="str">
        <f t="shared" si="23"/>
        <v>Risikogruppe 1 – klein</v>
      </c>
      <c r="B386" s="98" t="s">
        <v>390</v>
      </c>
      <c r="C386" s="98" t="s">
        <v>385</v>
      </c>
    </row>
    <row r="387" spans="1:3" x14ac:dyDescent="0.2">
      <c r="A387" s="107" t="str">
        <f t="shared" si="23"/>
        <v>Risikogruppe 2 – eher klein</v>
      </c>
      <c r="B387" s="98" t="s">
        <v>391</v>
      </c>
      <c r="C387" s="98" t="s">
        <v>386</v>
      </c>
    </row>
    <row r="388" spans="1:3" x14ac:dyDescent="0.2">
      <c r="A388" s="107" t="str">
        <f t="shared" ref="A388:A445" si="25">VLOOKUP(B388,B388:C388,language)</f>
        <v>Risikogruppe 3 – mittel</v>
      </c>
      <c r="B388" s="98" t="s">
        <v>392</v>
      </c>
      <c r="C388" s="98" t="s">
        <v>387</v>
      </c>
    </row>
    <row r="389" spans="1:3" x14ac:dyDescent="0.2">
      <c r="A389" s="107" t="str">
        <f t="shared" si="25"/>
        <v>Risikogruppe 4 – eher hoch</v>
      </c>
      <c r="B389" s="98" t="s">
        <v>393</v>
      </c>
      <c r="C389" s="98" t="s">
        <v>388</v>
      </c>
    </row>
    <row r="390" spans="1:3" x14ac:dyDescent="0.2">
      <c r="A390" s="107" t="str">
        <f t="shared" si="25"/>
        <v>Risikogruppe 5 – hoch</v>
      </c>
      <c r="B390" s="98" t="s">
        <v>394</v>
      </c>
      <c r="C390" s="98" t="s">
        <v>389</v>
      </c>
    </row>
    <row r="391" spans="1:3" x14ac:dyDescent="0.2">
      <c r="A391" s="89" t="str">
        <f t="shared" si="25"/>
        <v>ohne Massnahmen</v>
      </c>
      <c r="B391" s="105" t="s">
        <v>458</v>
      </c>
      <c r="C391" t="s">
        <v>395</v>
      </c>
    </row>
    <row r="392" spans="1:3" x14ac:dyDescent="0.2">
      <c r="A392" s="89" t="str">
        <f t="shared" si="25"/>
        <v>schwache Massnahmen</v>
      </c>
      <c r="B392" s="105" t="s">
        <v>399</v>
      </c>
      <c r="C392" t="s">
        <v>396</v>
      </c>
    </row>
    <row r="393" spans="1:3" x14ac:dyDescent="0.2">
      <c r="A393" s="89" t="str">
        <f t="shared" si="25"/>
        <v>mittlere Massnahmen</v>
      </c>
      <c r="B393" s="105" t="s">
        <v>400</v>
      </c>
      <c r="C393" t="s">
        <v>397</v>
      </c>
    </row>
    <row r="394" spans="1:3" x14ac:dyDescent="0.2">
      <c r="A394" s="89" t="str">
        <f t="shared" si="25"/>
        <v>starke Massnahmen</v>
      </c>
      <c r="B394" s="105" t="s">
        <v>401</v>
      </c>
      <c r="C394" t="s">
        <v>398</v>
      </c>
    </row>
    <row r="395" spans="1:3" x14ac:dyDescent="0.2">
      <c r="A395" s="89" t="str">
        <f t="shared" si="25"/>
        <v>Rechtsform</v>
      </c>
      <c r="B395" t="s">
        <v>27</v>
      </c>
      <c r="C395" t="s">
        <v>177</v>
      </c>
    </row>
    <row r="396" spans="1:3" x14ac:dyDescent="0.2">
      <c r="A396" s="107" t="str">
        <f t="shared" si="25"/>
        <v>Privatrechtliche Stiftung</v>
      </c>
      <c r="B396" s="5" t="s">
        <v>29</v>
      </c>
      <c r="C396" s="1" t="s">
        <v>402</v>
      </c>
    </row>
    <row r="397" spans="1:3" x14ac:dyDescent="0.2">
      <c r="A397" s="107" t="str">
        <f t="shared" si="25"/>
        <v>Privatrechtliche Genossenschaft</v>
      </c>
      <c r="B397" s="5" t="s">
        <v>30</v>
      </c>
      <c r="C397" s="1" t="s">
        <v>178</v>
      </c>
    </row>
    <row r="398" spans="1:3" x14ac:dyDescent="0.2">
      <c r="A398" s="107" t="str">
        <f t="shared" si="25"/>
        <v>Einrichtung öffentlichen Rechts</v>
      </c>
      <c r="B398" s="5" t="s">
        <v>31</v>
      </c>
      <c r="C398" s="1" t="s">
        <v>403</v>
      </c>
    </row>
    <row r="399" spans="1:3" x14ac:dyDescent="0.2">
      <c r="A399" s="89" t="str">
        <f t="shared" si="25"/>
        <v>Arbeitgeber und Garantieform</v>
      </c>
      <c r="B399" t="s">
        <v>151</v>
      </c>
      <c r="C399" t="s">
        <v>404</v>
      </c>
    </row>
    <row r="400" spans="1:3" x14ac:dyDescent="0.2">
      <c r="A400" s="107" t="str">
        <f t="shared" si="25"/>
        <v>Privatrechtlicher Arbeitgeber</v>
      </c>
      <c r="B400" s="5" t="s">
        <v>32</v>
      </c>
      <c r="C400" s="1" t="s">
        <v>179</v>
      </c>
    </row>
    <row r="401" spans="1:3" x14ac:dyDescent="0.2">
      <c r="A401" s="107" t="str">
        <f t="shared" ref="A401" si="26">VLOOKUP(B401,B401:C401,language)</f>
        <v>Öffentlich-rechtlicher Arbeitgeber</v>
      </c>
      <c r="B401" s="5" t="s">
        <v>180</v>
      </c>
      <c r="C401" s="1" t="s">
        <v>181</v>
      </c>
    </row>
    <row r="402" spans="1:3" x14ac:dyDescent="0.2">
      <c r="A402" s="107" t="str">
        <f t="shared" si="25"/>
        <v xml:space="preserve">   Vollkapitalisierung ohne Staatsgarantie</v>
      </c>
      <c r="B402" s="5" t="s">
        <v>535</v>
      </c>
      <c r="C402" s="1" t="s">
        <v>539</v>
      </c>
    </row>
    <row r="403" spans="1:3" x14ac:dyDescent="0.2">
      <c r="A403" s="107" t="str">
        <f t="shared" si="25"/>
        <v xml:space="preserve">   Vollkapitalisierung mit Staatsgarantie</v>
      </c>
      <c r="B403" s="5" t="s">
        <v>536</v>
      </c>
      <c r="C403" s="1" t="s">
        <v>540</v>
      </c>
    </row>
    <row r="404" spans="1:3" x14ac:dyDescent="0.2">
      <c r="A404" s="107" t="str">
        <f t="shared" si="25"/>
        <v xml:space="preserve">   Teilkapitalisierung</v>
      </c>
      <c r="B404" s="5" t="s">
        <v>537</v>
      </c>
      <c r="C404" s="1" t="s">
        <v>541</v>
      </c>
    </row>
    <row r="405" spans="1:3" x14ac:dyDescent="0.2">
      <c r="A405" s="107" t="str">
        <f t="shared" si="25"/>
        <v xml:space="preserve">   Zukünftiges System noch unklar</v>
      </c>
      <c r="B405" s="5" t="s">
        <v>538</v>
      </c>
      <c r="C405" s="1" t="s">
        <v>542</v>
      </c>
    </row>
    <row r="406" spans="1:3" x14ac:dyDescent="0.2">
      <c r="A406" s="89" t="str">
        <f t="shared" si="25"/>
        <v>Versicherungsdeckung</v>
      </c>
      <c r="B406" t="s">
        <v>152</v>
      </c>
      <c r="C406" t="s">
        <v>405</v>
      </c>
    </row>
    <row r="407" spans="1:3" x14ac:dyDescent="0.2">
      <c r="A407" s="107" t="str">
        <f t="shared" si="25"/>
        <v>Autonom ohne Rückversicherung</v>
      </c>
      <c r="B407" s="5" t="s">
        <v>33</v>
      </c>
      <c r="C407" s="1" t="s">
        <v>185</v>
      </c>
    </row>
    <row r="408" spans="1:3" x14ac:dyDescent="0.2">
      <c r="A408" s="107" t="str">
        <f t="shared" si="25"/>
        <v>Autonom mit Stop-Loss-Versicherung</v>
      </c>
      <c r="B408" s="5" t="s">
        <v>35</v>
      </c>
      <c r="C408" s="1" t="s">
        <v>406</v>
      </c>
    </row>
    <row r="409" spans="1:3" x14ac:dyDescent="0.2">
      <c r="A409" s="107" t="str">
        <f t="shared" si="25"/>
        <v>Autonom mit Excess-of-Loss-Versicherung</v>
      </c>
      <c r="B409" s="5" t="s">
        <v>34</v>
      </c>
      <c r="C409" s="1" t="s">
        <v>407</v>
      </c>
    </row>
    <row r="410" spans="1:3" x14ac:dyDescent="0.2">
      <c r="A410" s="107" t="str">
        <f t="shared" si="25"/>
        <v>Teilautonom: Altersrenten durch VE sichergestellt</v>
      </c>
      <c r="B410" s="5" t="s">
        <v>36</v>
      </c>
      <c r="C410" s="1" t="s">
        <v>408</v>
      </c>
    </row>
    <row r="411" spans="1:3" x14ac:dyDescent="0.2">
      <c r="A411" s="107" t="str">
        <f t="shared" si="25"/>
        <v>Teilautonom: Kauf individueller Altersrenten bei einer Versicherung</v>
      </c>
      <c r="B411" s="5" t="s">
        <v>37</v>
      </c>
      <c r="C411" s="1" t="s">
        <v>409</v>
      </c>
    </row>
    <row r="412" spans="1:3" x14ac:dyDescent="0.2">
      <c r="A412" s="107" t="str">
        <f t="shared" si="25"/>
        <v>Vollversicherung (Kollektiv)</v>
      </c>
      <c r="B412" s="5" t="s">
        <v>38</v>
      </c>
      <c r="C412" s="1" t="s">
        <v>410</v>
      </c>
    </row>
    <row r="413" spans="1:3" x14ac:dyDescent="0.2">
      <c r="A413" s="107" t="str">
        <f t="shared" si="25"/>
        <v>Spareinrichtung</v>
      </c>
      <c r="B413" s="5" t="s">
        <v>3</v>
      </c>
      <c r="C413" s="1" t="s">
        <v>411</v>
      </c>
    </row>
    <row r="414" spans="1:3" x14ac:dyDescent="0.2">
      <c r="A414" s="89" t="str">
        <f t="shared" si="25"/>
        <v>Registrierung und Umfang der Leistungen</v>
      </c>
      <c r="B414" t="s">
        <v>461</v>
      </c>
      <c r="C414" t="s">
        <v>545</v>
      </c>
    </row>
    <row r="415" spans="1:3" x14ac:dyDescent="0.2">
      <c r="A415" s="107" t="str">
        <f t="shared" si="25"/>
        <v>Obligatorische Leistungen (inkl. umhüllende VE)</v>
      </c>
      <c r="B415" s="5" t="s">
        <v>39</v>
      </c>
      <c r="C415" s="1" t="s">
        <v>412</v>
      </c>
    </row>
    <row r="416" spans="1:3" x14ac:dyDescent="0.2">
      <c r="A416" s="107" t="str">
        <f t="shared" si="25"/>
        <v>Nur überobligatorische Leistungen</v>
      </c>
      <c r="B416" s="5" t="s">
        <v>40</v>
      </c>
      <c r="C416" s="1" t="s">
        <v>413</v>
      </c>
    </row>
    <row r="417" spans="1:3" x14ac:dyDescent="0.2">
      <c r="A417" s="89" t="str">
        <f t="shared" si="25"/>
        <v>Verwaltungsform</v>
      </c>
      <c r="B417" t="s">
        <v>41</v>
      </c>
      <c r="C417" t="s">
        <v>182</v>
      </c>
    </row>
    <row r="418" spans="1:3" x14ac:dyDescent="0.2">
      <c r="A418" s="107" t="str">
        <f t="shared" si="25"/>
        <v>Vorsorgeeinrichtung eines Arbeitgebers</v>
      </c>
      <c r="B418" s="5" t="s">
        <v>42</v>
      </c>
      <c r="C418" s="1" t="s">
        <v>414</v>
      </c>
    </row>
    <row r="419" spans="1:3" x14ac:dyDescent="0.2">
      <c r="A419" s="107" t="str">
        <f t="shared" si="25"/>
        <v>Vorsorgeeinrichtung eines Konzerns</v>
      </c>
      <c r="B419" s="5" t="s">
        <v>43</v>
      </c>
      <c r="C419" s="1" t="s">
        <v>415</v>
      </c>
    </row>
    <row r="420" spans="1:3" x14ac:dyDescent="0.2">
      <c r="A420" s="107" t="str">
        <f t="shared" si="25"/>
        <v>Anderer Zusammenschluss mehrerer Arbeitgeber</v>
      </c>
      <c r="B420" s="5" t="s">
        <v>44</v>
      </c>
      <c r="C420" s="1" t="s">
        <v>416</v>
      </c>
    </row>
    <row r="421" spans="1:3" x14ac:dyDescent="0.2">
      <c r="A421" s="107" t="str">
        <f t="shared" si="25"/>
        <v>Gemeinschaftseinrichtung</v>
      </c>
      <c r="B421" s="5" t="s">
        <v>45</v>
      </c>
      <c r="C421" s="1" t="s">
        <v>184</v>
      </c>
    </row>
    <row r="422" spans="1:3" x14ac:dyDescent="0.2">
      <c r="A422" s="107" t="str">
        <f t="shared" si="25"/>
        <v>Sammeleinrichtung</v>
      </c>
      <c r="B422" s="5" t="s">
        <v>46</v>
      </c>
      <c r="C422" s="1" t="s">
        <v>183</v>
      </c>
    </row>
    <row r="423" spans="1:3" x14ac:dyDescent="0.2">
      <c r="A423" s="107" t="str">
        <f t="shared" si="25"/>
        <v>Sammel-/Gemeinschaftseinrichtung öffentlich-rechtl. Arbeitgeber</v>
      </c>
      <c r="B423" s="5" t="s">
        <v>47</v>
      </c>
      <c r="C423" s="1" t="s">
        <v>417</v>
      </c>
    </row>
    <row r="424" spans="1:3" x14ac:dyDescent="0.2">
      <c r="A424" s="89" t="str">
        <f>VLOOKUP(B424,B424:C424,language)</f>
        <v>Schwerpunkt: Drei Zinssätze als zentrale Steuerungsgrössen</v>
      </c>
      <c r="B424" s="89" t="s">
        <v>163</v>
      </c>
      <c r="C424" s="105" t="s">
        <v>435</v>
      </c>
    </row>
    <row r="425" spans="1:3" x14ac:dyDescent="0.2">
      <c r="A425" s="89" t="str">
        <f>VLOOKUP(B425,B425:C425,language)</f>
        <v>Künftiger Wert von 100 bei zehn Jahren Laufzeit und fixer jährlicher Verzinsung</v>
      </c>
      <c r="B425" s="105" t="s">
        <v>439</v>
      </c>
      <c r="C425" t="s">
        <v>466</v>
      </c>
    </row>
    <row r="426" spans="1:3" x14ac:dyDescent="0.2">
      <c r="A426" s="89" t="str">
        <f>VLOOKUP(B426,B426:C426,language)</f>
        <v>Aktueller Wert von 100 bei Auszahlung in zehn Jahren und fixer jährlicher Verzinsung</v>
      </c>
      <c r="B426" s="105" t="s">
        <v>440</v>
      </c>
      <c r="C426" t="s">
        <v>467</v>
      </c>
    </row>
    <row r="427" spans="1:3" x14ac:dyDescent="0.2">
      <c r="A427" s="89" t="str">
        <f>VLOOKUP(B427,B427:C427,language)</f>
        <v>Höhe der jährlichen Altersrente bei einem Altersguthaben von 100 und fixem Zinsversprechen bei Pensionierung</v>
      </c>
      <c r="B427" s="105" t="s">
        <v>436</v>
      </c>
      <c r="C427" s="4" t="s">
        <v>468</v>
      </c>
    </row>
    <row r="428" spans="1:3" x14ac:dyDescent="0.2">
      <c r="A428" s="89" t="str">
        <f>VLOOKUP(B428,B428:C428,language)</f>
        <v>Zinssatz</v>
      </c>
      <c r="B428" t="s">
        <v>437</v>
      </c>
      <c r="C428" t="s">
        <v>438</v>
      </c>
    </row>
    <row r="429" spans="1:3" x14ac:dyDescent="0.2">
      <c r="A429" s="89" t="str">
        <f t="shared" si="25"/>
        <v>Künftiger Wert</v>
      </c>
      <c r="B429" t="s">
        <v>161</v>
      </c>
      <c r="C429" t="s">
        <v>418</v>
      </c>
    </row>
    <row r="430" spans="1:3" x14ac:dyDescent="0.2">
      <c r="A430" s="89" t="str">
        <f t="shared" si="25"/>
        <v>Aktueller Wert</v>
      </c>
      <c r="B430" t="s">
        <v>162</v>
      </c>
      <c r="C430" t="s">
        <v>419</v>
      </c>
    </row>
    <row r="431" spans="1:3" x14ac:dyDescent="0.2">
      <c r="A431" s="89" t="str">
        <f t="shared" si="25"/>
        <v>Jährliche Altersrente</v>
      </c>
      <c r="B431" t="s">
        <v>420</v>
      </c>
      <c r="C431" t="s">
        <v>421</v>
      </c>
    </row>
    <row r="432" spans="1:3" x14ac:dyDescent="0.2">
      <c r="A432" s="89" t="str">
        <f t="shared" si="25"/>
        <v>Entwicklung des Zinsniveaus in den letzten 25 Jahren</v>
      </c>
      <c r="B432" t="s">
        <v>422</v>
      </c>
      <c r="C432" t="s">
        <v>423</v>
      </c>
    </row>
    <row r="433" spans="1:3" x14ac:dyDescent="0.2">
      <c r="A433" s="89" t="str">
        <f>VLOOKUP(B433,B433:C433,language)</f>
        <v>Jahr</v>
      </c>
      <c r="B433" s="89" t="s">
        <v>158</v>
      </c>
      <c r="C433" s="105" t="s">
        <v>442</v>
      </c>
    </row>
    <row r="434" spans="1:3" x14ac:dyDescent="0.2">
      <c r="A434" s="89" t="str">
        <f>VLOOKUP(B434,B434:C434,language)</f>
        <v>Rendite Bundesobligationen</v>
      </c>
      <c r="B434" s="89" t="s">
        <v>159</v>
      </c>
      <c r="C434" t="s">
        <v>424</v>
      </c>
    </row>
    <row r="435" spans="1:3" x14ac:dyDescent="0.2">
      <c r="A435" s="89" t="str">
        <f>VLOOKUP(B435,B435:C435,language)</f>
        <v>Durchschnittlicher technischer Zins</v>
      </c>
      <c r="B435" s="105" t="s">
        <v>441</v>
      </c>
      <c r="C435" t="s">
        <v>425</v>
      </c>
    </row>
    <row r="436" spans="1:3" x14ac:dyDescent="0.2">
      <c r="A436" s="89" t="str">
        <f>VLOOKUP(B436,B436:C436,language)</f>
        <v>BVG-Mindestzins</v>
      </c>
      <c r="B436" s="89" t="s">
        <v>160</v>
      </c>
      <c r="C436" t="s">
        <v>426</v>
      </c>
    </row>
    <row r="437" spans="1:3" x14ac:dyDescent="0.2">
      <c r="A437" s="89" t="str">
        <f t="shared" si="25"/>
        <v>Tabellarische Darstellung der drei Zinsgrössen</v>
      </c>
      <c r="B437" t="s">
        <v>213</v>
      </c>
      <c r="C437" s="105" t="s">
        <v>443</v>
      </c>
    </row>
    <row r="438" spans="1:3" x14ac:dyDescent="0.2">
      <c r="A438" s="89" t="str">
        <f t="shared" si="25"/>
        <v>Nettorendite</v>
      </c>
      <c r="B438" t="s">
        <v>616</v>
      </c>
      <c r="C438" t="s">
        <v>617</v>
      </c>
    </row>
    <row r="439" spans="1:3" x14ac:dyDescent="0.2">
      <c r="A439" s="107" t="str">
        <f t="shared" si="25"/>
        <v>nicht definiert</v>
      </c>
      <c r="B439" s="1" t="s">
        <v>91</v>
      </c>
      <c r="C439" s="2" t="s">
        <v>310</v>
      </c>
    </row>
    <row r="440" spans="1:3" x14ac:dyDescent="0.2">
      <c r="A440" s="107" t="str">
        <f t="shared" si="25"/>
        <v>unter 1%</v>
      </c>
      <c r="B440" s="1" t="s">
        <v>114</v>
      </c>
      <c r="C440" s="2" t="s">
        <v>369</v>
      </c>
    </row>
    <row r="441" spans="1:3" x14ac:dyDescent="0.2">
      <c r="A441" s="107" t="str">
        <f t="shared" si="25"/>
        <v>1.0% – 2.9%</v>
      </c>
      <c r="B441" s="1" t="s">
        <v>370</v>
      </c>
      <c r="C441" s="1" t="s">
        <v>371</v>
      </c>
    </row>
    <row r="442" spans="1:3" x14ac:dyDescent="0.2">
      <c r="A442" s="107" t="str">
        <f t="shared" si="25"/>
        <v>3.0% – 4.9%</v>
      </c>
      <c r="B442" s="1" t="s">
        <v>372</v>
      </c>
      <c r="C442" s="1" t="s">
        <v>373</v>
      </c>
    </row>
    <row r="443" spans="1:3" x14ac:dyDescent="0.2">
      <c r="A443" s="107" t="str">
        <f t="shared" si="25"/>
        <v>5.0% – 6.9%</v>
      </c>
      <c r="B443" s="1" t="s">
        <v>374</v>
      </c>
      <c r="C443" s="1" t="s">
        <v>375</v>
      </c>
    </row>
    <row r="444" spans="1:3" x14ac:dyDescent="0.2">
      <c r="A444" s="107" t="str">
        <f t="shared" si="25"/>
        <v>7.0% – 8.9%</v>
      </c>
      <c r="B444" s="1" t="s">
        <v>376</v>
      </c>
      <c r="C444" s="1" t="s">
        <v>377</v>
      </c>
    </row>
    <row r="445" spans="1:3" x14ac:dyDescent="0.2">
      <c r="A445" s="107" t="str">
        <f t="shared" si="25"/>
        <v>9% oder höher</v>
      </c>
      <c r="B445" s="102" t="s">
        <v>378</v>
      </c>
      <c r="C445" s="1" t="s">
        <v>379</v>
      </c>
    </row>
    <row r="446" spans="1:3" x14ac:dyDescent="0.2">
      <c r="A446" s="89" t="str">
        <f t="shared" ref="A446:A447" si="27">VLOOKUP(B446,B446:C446,language)</f>
        <v>keine Daten erhoben</v>
      </c>
      <c r="B446" s="105" t="s">
        <v>553</v>
      </c>
      <c r="C446" s="105" t="s">
        <v>554</v>
      </c>
    </row>
    <row r="447" spans="1:3" x14ac:dyDescent="0.2">
      <c r="A447" s="89" t="str">
        <f t="shared" si="27"/>
        <v>nicht separat erhoben</v>
      </c>
      <c r="B447" s="105" t="s">
        <v>555</v>
      </c>
      <c r="C447" s="105" t="s">
        <v>556</v>
      </c>
    </row>
  </sheetData>
  <hyperlinks>
    <hyperlink ref="B14" r:id="rId1"/>
    <hyperlink ref="C14" r:id="rId2"/>
  </hyperlinks>
  <pageMargins left="0.70866141732283472" right="0.70866141732283472" top="0.78740157480314965" bottom="0.78740157480314965" header="0.31496062992125984" footer="0.31496062992125984"/>
  <pageSetup paperSize="9" scale="24" fitToHeight="4" orientation="portrait" cellComments="atEnd" r:id="rId3"/>
  <headerFooter>
    <oddFooter>&amp;L&amp;10&amp;F / &amp;A&amp;C&amp;10&amp;H&amp;P / &amp;N&amp;R&amp;10OAK BV - RM / 10.05.2016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5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Translation!$A$186</f>
        <v>Perioden- und Generationentafeln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Translation!$A187</f>
        <v>Periodentafel</v>
      </c>
      <c r="B12" s="30">
        <v>870</v>
      </c>
      <c r="C12" s="6">
        <v>1953748</v>
      </c>
      <c r="D12" s="6">
        <v>545211</v>
      </c>
      <c r="E12" s="150">
        <v>445709.728</v>
      </c>
      <c r="F12" s="31">
        <f>E12/E$36</f>
        <v>0.4934304840476294</v>
      </c>
      <c r="G12" s="41">
        <v>938</v>
      </c>
      <c r="H12" s="42">
        <v>2010043</v>
      </c>
      <c r="I12" s="42">
        <v>574381</v>
      </c>
      <c r="J12" s="160">
        <v>461447.31599999999</v>
      </c>
      <c r="K12" s="44">
        <f>J12/J$36</f>
        <v>0.53652600840969555</v>
      </c>
      <c r="L12" s="76">
        <v>1023</v>
      </c>
      <c r="M12" s="122">
        <v>2107408</v>
      </c>
      <c r="N12" s="122">
        <v>590812</v>
      </c>
      <c r="O12" s="167">
        <v>472884.81300000002</v>
      </c>
      <c r="P12" s="124">
        <f>O12/O$36</f>
        <v>0.57442614995032115</v>
      </c>
      <c r="Q12" s="76">
        <v>1121</v>
      </c>
      <c r="R12" s="122">
        <v>2269024</v>
      </c>
      <c r="S12" s="122">
        <v>653785</v>
      </c>
      <c r="T12" s="167">
        <v>530408.76800000004</v>
      </c>
      <c r="U12" s="124">
        <f>T12/T$36</f>
        <v>0.65968695001149924</v>
      </c>
      <c r="V12" s="76">
        <v>1218</v>
      </c>
      <c r="W12" s="122">
        <v>2064637</v>
      </c>
      <c r="X12" s="122">
        <v>646362</v>
      </c>
      <c r="Y12" s="167">
        <v>541119.049</v>
      </c>
      <c r="Z12" s="124">
        <f>Y12/Y$36</f>
        <v>0.72589112524838617</v>
      </c>
    </row>
    <row r="13" spans="1:26" x14ac:dyDescent="0.2">
      <c r="A13" s="114" t="str">
        <f>Translation!$A188</f>
        <v>Generationentafel</v>
      </c>
      <c r="B13" s="30">
        <v>471</v>
      </c>
      <c r="C13" s="6">
        <v>1148928</v>
      </c>
      <c r="D13" s="6">
        <v>372065</v>
      </c>
      <c r="E13" s="150">
        <v>351678.94799999997</v>
      </c>
      <c r="F13" s="31">
        <f>E13/E$36</f>
        <v>0.38933212052531435</v>
      </c>
      <c r="G13" s="41">
        <v>424</v>
      </c>
      <c r="H13" s="42">
        <v>871999</v>
      </c>
      <c r="I13" s="42">
        <v>313839</v>
      </c>
      <c r="J13" s="160">
        <v>285601.815</v>
      </c>
      <c r="K13" s="44">
        <f>J13/J$36</f>
        <v>0.33206998173658098</v>
      </c>
      <c r="L13" s="76">
        <v>390</v>
      </c>
      <c r="M13" s="122">
        <v>652175</v>
      </c>
      <c r="N13" s="122">
        <v>276592</v>
      </c>
      <c r="O13" s="167">
        <v>232449.09099999999</v>
      </c>
      <c r="P13" s="124">
        <f>O13/O$36</f>
        <v>0.28236228513133038</v>
      </c>
      <c r="Q13" s="76">
        <v>366</v>
      </c>
      <c r="R13" s="122">
        <v>430379</v>
      </c>
      <c r="S13" s="122">
        <v>200590</v>
      </c>
      <c r="T13" s="167">
        <v>154249.60399999999</v>
      </c>
      <c r="U13" s="124">
        <f>T13/T$36</f>
        <v>0.1918453406924856</v>
      </c>
      <c r="V13" s="76">
        <v>352</v>
      </c>
      <c r="W13" s="122">
        <v>525131</v>
      </c>
      <c r="X13" s="122">
        <v>185756</v>
      </c>
      <c r="Y13" s="167">
        <v>136007.753</v>
      </c>
      <c r="Z13" s="124">
        <f>Y13/Y$36</f>
        <v>0.18244935389009853</v>
      </c>
    </row>
    <row r="14" spans="1:26" x14ac:dyDescent="0.2">
      <c r="A14" s="114" t="str">
        <f>Translation!$A189</f>
        <v>keine selbst erbrachten Rentenleistungen</v>
      </c>
      <c r="B14" s="30">
        <v>313</v>
      </c>
      <c r="C14" s="6">
        <v>1073236</v>
      </c>
      <c r="D14" s="6">
        <v>215</v>
      </c>
      <c r="E14" s="150">
        <v>105899.107</v>
      </c>
      <c r="F14" s="31">
        <f>E14/E$36</f>
        <v>0.11723739542705629</v>
      </c>
      <c r="G14" s="41">
        <v>320</v>
      </c>
      <c r="H14" s="42">
        <v>1168052</v>
      </c>
      <c r="I14" s="42">
        <v>605</v>
      </c>
      <c r="J14" s="160">
        <v>113016.008</v>
      </c>
      <c r="K14" s="44">
        <f>J14/J$36</f>
        <v>0.13140400985372341</v>
      </c>
      <c r="L14" s="76">
        <v>330</v>
      </c>
      <c r="M14" s="122">
        <v>1278572</v>
      </c>
      <c r="N14" s="122">
        <v>11197</v>
      </c>
      <c r="O14" s="167">
        <v>117896.05</v>
      </c>
      <c r="P14" s="124">
        <f>O14/O$36</f>
        <v>0.14321156491834844</v>
      </c>
      <c r="Q14" s="76">
        <v>358</v>
      </c>
      <c r="R14" s="122">
        <v>1304634</v>
      </c>
      <c r="S14" s="122">
        <v>14443</v>
      </c>
      <c r="T14" s="167">
        <v>119372.643</v>
      </c>
      <c r="U14" s="124">
        <f>T14/T$36</f>
        <v>0.14846770929601516</v>
      </c>
      <c r="V14" s="76">
        <v>335</v>
      </c>
      <c r="W14" s="122">
        <v>1342980</v>
      </c>
      <c r="X14" s="122">
        <v>111214</v>
      </c>
      <c r="Y14" s="167">
        <v>68328.032999999996</v>
      </c>
      <c r="Z14" s="124">
        <f>Y14/Y$36</f>
        <v>9.1659520861515367E-2</v>
      </c>
    </row>
    <row r="15" spans="1:26" ht="12.75" hidden="1" customHeight="1" x14ac:dyDescent="0.2">
      <c r="A15" s="114"/>
      <c r="B15" s="30"/>
      <c r="C15" s="6"/>
      <c r="D15" s="6"/>
      <c r="E15" s="150"/>
      <c r="F15" s="31"/>
      <c r="G15" s="41"/>
      <c r="H15" s="42"/>
      <c r="I15" s="42"/>
      <c r="J15" s="160"/>
      <c r="K15" s="44"/>
      <c r="L15" s="76"/>
      <c r="M15" s="122"/>
      <c r="N15" s="122"/>
      <c r="O15" s="167"/>
      <c r="P15" s="124"/>
      <c r="Q15" s="76"/>
      <c r="R15" s="122"/>
      <c r="S15" s="122"/>
      <c r="T15" s="167"/>
      <c r="U15" s="124"/>
      <c r="V15" s="76"/>
      <c r="W15" s="122"/>
      <c r="X15" s="122"/>
      <c r="Y15" s="167"/>
      <c r="Z15" s="124"/>
    </row>
    <row r="16" spans="1:26" ht="12.75" hidden="1" customHeight="1" x14ac:dyDescent="0.2">
      <c r="A16" s="114"/>
      <c r="B16" s="30"/>
      <c r="C16" s="6"/>
      <c r="D16" s="6"/>
      <c r="E16" s="150"/>
      <c r="F16" s="31"/>
      <c r="G16" s="41"/>
      <c r="H16" s="42"/>
      <c r="I16" s="42"/>
      <c r="J16" s="160"/>
      <c r="K16" s="44"/>
      <c r="L16" s="76"/>
      <c r="M16" s="122"/>
      <c r="N16" s="122"/>
      <c r="O16" s="167"/>
      <c r="P16" s="124"/>
      <c r="Q16" s="76"/>
      <c r="R16" s="122"/>
      <c r="S16" s="122"/>
      <c r="T16" s="167"/>
      <c r="U16" s="124"/>
      <c r="V16" s="76"/>
      <c r="W16" s="122"/>
      <c r="X16" s="122"/>
      <c r="Y16" s="167"/>
      <c r="Z16" s="124"/>
    </row>
    <row r="17" spans="2:26" ht="12.75" hidden="1" customHeight="1" x14ac:dyDescent="0.2">
      <c r="B17" s="30"/>
      <c r="C17" s="6"/>
      <c r="D17" s="6"/>
      <c r="E17" s="150"/>
      <c r="F17" s="31"/>
      <c r="G17" s="41"/>
      <c r="H17" s="42"/>
      <c r="I17" s="42"/>
      <c r="J17" s="160"/>
      <c r="K17" s="44"/>
      <c r="L17" s="76"/>
      <c r="M17" s="122"/>
      <c r="N17" s="122"/>
      <c r="O17" s="167"/>
      <c r="P17" s="124"/>
      <c r="Q17" s="76"/>
      <c r="R17" s="122"/>
      <c r="S17" s="122"/>
      <c r="T17" s="167"/>
      <c r="U17" s="124"/>
      <c r="V17" s="76"/>
      <c r="W17" s="122"/>
      <c r="X17" s="122"/>
      <c r="Y17" s="167"/>
      <c r="Z17" s="124"/>
    </row>
    <row r="18" spans="2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2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2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2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2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2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2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2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2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2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2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2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2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2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2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0">SUM(C$12:C$35)</f>
        <v>4175912</v>
      </c>
      <c r="D36" s="7">
        <f t="shared" si="0"/>
        <v>917491</v>
      </c>
      <c r="E36" s="151">
        <f t="shared" si="0"/>
        <v>903287.78299999994</v>
      </c>
      <c r="F36" s="64">
        <f>SUM(F$12:F$35)</f>
        <v>1</v>
      </c>
      <c r="G36" s="45">
        <f>SUM(G$12:G$35)</f>
        <v>1682</v>
      </c>
      <c r="H36" s="65">
        <f t="shared" ref="H36:J36" si="1">SUM(H$12:H$35)</f>
        <v>4050094</v>
      </c>
      <c r="I36" s="65">
        <f t="shared" si="1"/>
        <v>888825</v>
      </c>
      <c r="J36" s="161">
        <f t="shared" si="1"/>
        <v>860065.13900000008</v>
      </c>
      <c r="K36" s="66">
        <f>SUM(K$12:K$35)</f>
        <v>1</v>
      </c>
      <c r="L36" s="77">
        <f>SUM(L$12:L$35)</f>
        <v>1743</v>
      </c>
      <c r="M36" s="125">
        <f t="shared" ref="M36:O36" si="2">SUM(M$12:M$35)</f>
        <v>4038155</v>
      </c>
      <c r="N36" s="125">
        <f t="shared" si="2"/>
        <v>878601</v>
      </c>
      <c r="O36" s="168">
        <f t="shared" si="2"/>
        <v>823229.95400000003</v>
      </c>
      <c r="P36" s="127">
        <f>SUM(P$12:P$35)</f>
        <v>0.99999999999999989</v>
      </c>
      <c r="Q36" s="77">
        <f>SUM(Q$12:Q$35)</f>
        <v>1845</v>
      </c>
      <c r="R36" s="125">
        <f t="shared" ref="R36:T36" si="3">SUM(R$12:R$35)</f>
        <v>4004037</v>
      </c>
      <c r="S36" s="125">
        <f t="shared" si="3"/>
        <v>868818</v>
      </c>
      <c r="T36" s="168">
        <f t="shared" si="3"/>
        <v>804031.01500000001</v>
      </c>
      <c r="U36" s="127">
        <f>SUM(U$12:U$35)</f>
        <v>1</v>
      </c>
      <c r="V36" s="77">
        <f t="shared" ref="V36:Z36" si="4">SUM(V$12:V$35)</f>
        <v>1905</v>
      </c>
      <c r="W36" s="125">
        <f t="shared" si="4"/>
        <v>3932748</v>
      </c>
      <c r="X36" s="125">
        <f t="shared" si="4"/>
        <v>943332</v>
      </c>
      <c r="Y36" s="168">
        <f t="shared" si="4"/>
        <v>745454.83499999996</v>
      </c>
      <c r="Z36" s="127">
        <f t="shared" si="4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Periodentafel</v>
      </c>
      <c r="B52" s="33">
        <v>837</v>
      </c>
      <c r="C52" s="8">
        <v>1693903</v>
      </c>
      <c r="D52" s="8">
        <v>416137</v>
      </c>
      <c r="E52" s="152">
        <v>336390.93599999999</v>
      </c>
      <c r="F52" s="34">
        <f>E52/E$76</f>
        <v>0.43728155758001691</v>
      </c>
      <c r="G52" s="47">
        <v>904</v>
      </c>
      <c r="H52" s="48">
        <v>1754170</v>
      </c>
      <c r="I52" s="48">
        <v>449462</v>
      </c>
      <c r="J52" s="162">
        <v>357355.255</v>
      </c>
      <c r="K52" s="50">
        <f>J52/J$76</f>
        <v>0.487665425798051</v>
      </c>
      <c r="L52" s="128">
        <v>993</v>
      </c>
      <c r="M52" s="129">
        <v>1869224</v>
      </c>
      <c r="N52" s="129">
        <v>476014</v>
      </c>
      <c r="O52" s="169">
        <v>378189.21899999998</v>
      </c>
      <c r="P52" s="131">
        <f>O52/O$76</f>
        <v>0.53721437273508477</v>
      </c>
      <c r="Q52" s="128">
        <v>1085</v>
      </c>
      <c r="R52" s="129">
        <v>1954615</v>
      </c>
      <c r="S52" s="129">
        <v>514037</v>
      </c>
      <c r="T52" s="169">
        <v>415058.14899999998</v>
      </c>
      <c r="U52" s="131">
        <f>T52/T$76</f>
        <v>0.61152182865602622</v>
      </c>
      <c r="V52" s="128">
        <v>1168</v>
      </c>
      <c r="W52" s="129">
        <v>1727847</v>
      </c>
      <c r="X52" s="129">
        <v>498483</v>
      </c>
      <c r="Y52" s="169">
        <v>420673.82199999999</v>
      </c>
      <c r="Z52" s="131">
        <f>Y52/Y$76</f>
        <v>0.68218264041718357</v>
      </c>
    </row>
    <row r="53" spans="1:26" x14ac:dyDescent="0.2">
      <c r="A53" s="114" t="str">
        <f>$A$13</f>
        <v>Generationentafel</v>
      </c>
      <c r="B53" s="33">
        <v>466</v>
      </c>
      <c r="C53" s="8">
        <v>1083050</v>
      </c>
      <c r="D53" s="8">
        <v>344955</v>
      </c>
      <c r="E53" s="152">
        <v>326987.62300000002</v>
      </c>
      <c r="F53" s="34">
        <f>E53/E$76</f>
        <v>0.42505799589923365</v>
      </c>
      <c r="G53" s="47">
        <v>419</v>
      </c>
      <c r="H53" s="48">
        <v>805832</v>
      </c>
      <c r="I53" s="48">
        <v>288660</v>
      </c>
      <c r="J53" s="162">
        <v>262416.49699999997</v>
      </c>
      <c r="K53" s="50">
        <f>J53/J$76</f>
        <v>0.35810709638490684</v>
      </c>
      <c r="L53" s="128">
        <v>382</v>
      </c>
      <c r="M53" s="129">
        <v>582016</v>
      </c>
      <c r="N53" s="129">
        <v>247556</v>
      </c>
      <c r="O53" s="169">
        <v>207896.67600000001</v>
      </c>
      <c r="P53" s="131">
        <f>O53/O$76</f>
        <v>0.29531535215722043</v>
      </c>
      <c r="Q53" s="128">
        <v>359</v>
      </c>
      <c r="R53" s="129">
        <v>405408</v>
      </c>
      <c r="S53" s="129">
        <v>186426</v>
      </c>
      <c r="T53" s="169">
        <v>144299.10699999999</v>
      </c>
      <c r="U53" s="131">
        <f>T53/T$76</f>
        <v>0.21260166557065138</v>
      </c>
      <c r="V53" s="128">
        <v>346</v>
      </c>
      <c r="W53" s="129">
        <v>504201</v>
      </c>
      <c r="X53" s="129">
        <v>174033</v>
      </c>
      <c r="Y53" s="169">
        <v>127682.541</v>
      </c>
      <c r="Z53" s="131">
        <f>Y53/Y$76</f>
        <v>0.2070554629248009</v>
      </c>
    </row>
    <row r="54" spans="1:26" x14ac:dyDescent="0.2">
      <c r="A54" s="114" t="str">
        <f>$A$14</f>
        <v>keine selbst erbrachten Rentenleistungen</v>
      </c>
      <c r="B54" s="33">
        <v>313</v>
      </c>
      <c r="C54" s="8">
        <v>1073236</v>
      </c>
      <c r="D54" s="8">
        <v>215</v>
      </c>
      <c r="E54" s="152">
        <v>105899.107</v>
      </c>
      <c r="F54" s="34">
        <f>E54/E$76</f>
        <v>0.13766044652074952</v>
      </c>
      <c r="G54" s="47">
        <v>320</v>
      </c>
      <c r="H54" s="48">
        <v>1168052</v>
      </c>
      <c r="I54" s="48">
        <v>605</v>
      </c>
      <c r="J54" s="162">
        <v>113016.008</v>
      </c>
      <c r="K54" s="50">
        <f>J54/J$76</f>
        <v>0.15422747781704213</v>
      </c>
      <c r="L54" s="128">
        <v>330</v>
      </c>
      <c r="M54" s="129">
        <v>1278572</v>
      </c>
      <c r="N54" s="129">
        <v>11197</v>
      </c>
      <c r="O54" s="169">
        <v>117896.05</v>
      </c>
      <c r="P54" s="131">
        <f>O54/O$76</f>
        <v>0.16747027510769469</v>
      </c>
      <c r="Q54" s="128">
        <v>358</v>
      </c>
      <c r="R54" s="129">
        <v>1304634</v>
      </c>
      <c r="S54" s="129">
        <v>14443</v>
      </c>
      <c r="T54" s="169">
        <v>119372.643</v>
      </c>
      <c r="U54" s="131">
        <f>T54/T$76</f>
        <v>0.17587650577332237</v>
      </c>
      <c r="V54" s="128">
        <v>333</v>
      </c>
      <c r="W54" s="129">
        <v>1342584</v>
      </c>
      <c r="X54" s="129">
        <v>111111</v>
      </c>
      <c r="Y54" s="169">
        <v>68302.281000000003</v>
      </c>
      <c r="Z54" s="131">
        <f>Y54/Y$76</f>
        <v>0.11076189665801556</v>
      </c>
    </row>
    <row r="55" spans="1:26" ht="12.75" hidden="1" customHeight="1" x14ac:dyDescent="0.2">
      <c r="A55" s="114">
        <f>$A$15</f>
        <v>0</v>
      </c>
      <c r="B55" s="33"/>
      <c r="C55" s="8"/>
      <c r="D55" s="8"/>
      <c r="E55" s="152"/>
      <c r="F55" s="34"/>
      <c r="G55" s="47"/>
      <c r="H55" s="48"/>
      <c r="I55" s="48"/>
      <c r="J55" s="162"/>
      <c r="K55" s="50"/>
      <c r="L55" s="128"/>
      <c r="M55" s="129"/>
      <c r="N55" s="129"/>
      <c r="O55" s="169"/>
      <c r="P55" s="131"/>
      <c r="Q55" s="128"/>
      <c r="R55" s="129"/>
      <c r="S55" s="129"/>
      <c r="T55" s="169"/>
      <c r="U55" s="131"/>
      <c r="V55" s="128"/>
      <c r="W55" s="129"/>
      <c r="X55" s="129"/>
      <c r="Y55" s="169"/>
      <c r="Z55" s="131"/>
    </row>
    <row r="56" spans="1:26" ht="12.75" hidden="1" customHeight="1" x14ac:dyDescent="0.2">
      <c r="A56" s="114">
        <f>$A$16</f>
        <v>0</v>
      </c>
      <c r="B56" s="33"/>
      <c r="C56" s="8"/>
      <c r="D56" s="8"/>
      <c r="E56" s="152"/>
      <c r="F56" s="34"/>
      <c r="G56" s="47"/>
      <c r="H56" s="48"/>
      <c r="I56" s="48"/>
      <c r="J56" s="162"/>
      <c r="K56" s="50"/>
      <c r="L56" s="128"/>
      <c r="M56" s="129"/>
      <c r="N56" s="129"/>
      <c r="O56" s="169"/>
      <c r="P56" s="131"/>
      <c r="Q56" s="128"/>
      <c r="R56" s="129"/>
      <c r="S56" s="129"/>
      <c r="T56" s="169"/>
      <c r="U56" s="131"/>
      <c r="V56" s="128"/>
      <c r="W56" s="129"/>
      <c r="X56" s="129"/>
      <c r="Y56" s="169"/>
      <c r="Z56" s="131"/>
    </row>
    <row r="57" spans="1:26" ht="12.75" hidden="1" customHeight="1" x14ac:dyDescent="0.2">
      <c r="A57" s="114">
        <f>$A$17</f>
        <v>0</v>
      </c>
      <c r="B57" s="33"/>
      <c r="C57" s="8"/>
      <c r="D57" s="8"/>
      <c r="E57" s="152"/>
      <c r="F57" s="34"/>
      <c r="G57" s="47"/>
      <c r="H57" s="48"/>
      <c r="I57" s="48"/>
      <c r="J57" s="162"/>
      <c r="K57" s="50"/>
      <c r="L57" s="128"/>
      <c r="M57" s="129"/>
      <c r="N57" s="129"/>
      <c r="O57" s="169"/>
      <c r="P57" s="131"/>
      <c r="Q57" s="128"/>
      <c r="R57" s="129"/>
      <c r="S57" s="129"/>
      <c r="T57" s="169"/>
      <c r="U57" s="131"/>
      <c r="V57" s="128"/>
      <c r="W57" s="129"/>
      <c r="X57" s="129"/>
      <c r="Y57" s="169"/>
      <c r="Z57" s="131"/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5">SUM(F$52:F$75)</f>
        <v>1.0000000000000002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703981.94500000007</v>
      </c>
      <c r="P76" s="135">
        <f t="shared" ref="P76" si="7">SUM(P$52:P$75)</f>
        <v>0.99999999999999978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8">SUM(U$52:U$75)</f>
        <v>1</v>
      </c>
      <c r="V76" s="132">
        <f t="shared" si="8"/>
        <v>1847</v>
      </c>
      <c r="W76" s="133">
        <f t="shared" si="8"/>
        <v>3574632</v>
      </c>
      <c r="X76" s="133">
        <f t="shared" si="8"/>
        <v>783627</v>
      </c>
      <c r="Y76" s="170">
        <f t="shared" si="8"/>
        <v>616658.64399999997</v>
      </c>
      <c r="Z76" s="135">
        <f t="shared" si="8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Periodentafel</v>
      </c>
      <c r="B92" s="36">
        <v>33</v>
      </c>
      <c r="C92" s="10">
        <v>259845</v>
      </c>
      <c r="D92" s="10">
        <v>129074</v>
      </c>
      <c r="E92" s="154">
        <v>109318.792</v>
      </c>
      <c r="F92" s="37">
        <f>E92/E$116</f>
        <v>0.81575029145001043</v>
      </c>
      <c r="G92" s="53">
        <v>34</v>
      </c>
      <c r="H92" s="54">
        <v>255873</v>
      </c>
      <c r="I92" s="54">
        <v>124919</v>
      </c>
      <c r="J92" s="164">
        <v>104092.061</v>
      </c>
      <c r="K92" s="56">
        <f>J92/J$116</f>
        <v>0.81783630223875059</v>
      </c>
      <c r="L92" s="136">
        <v>30</v>
      </c>
      <c r="M92" s="137">
        <v>238184</v>
      </c>
      <c r="N92" s="137">
        <v>114798</v>
      </c>
      <c r="O92" s="171">
        <v>94695.593999999997</v>
      </c>
      <c r="P92" s="139">
        <f>O92/O$116</f>
        <v>0.79410628985847476</v>
      </c>
      <c r="Q92" s="136">
        <v>36</v>
      </c>
      <c r="R92" s="137">
        <v>314409</v>
      </c>
      <c r="S92" s="137">
        <v>139748</v>
      </c>
      <c r="T92" s="171">
        <v>115350.61900000001</v>
      </c>
      <c r="U92" s="139">
        <f>T92/T$116</f>
        <v>0.92058732342016814</v>
      </c>
      <c r="V92" s="136">
        <v>50</v>
      </c>
      <c r="W92" s="137">
        <v>336790</v>
      </c>
      <c r="X92" s="137">
        <v>147879</v>
      </c>
      <c r="Y92" s="171">
        <v>120445.227</v>
      </c>
      <c r="Z92" s="139">
        <f>Y92/Y$116</f>
        <v>0.93516140551081983</v>
      </c>
    </row>
    <row r="93" spans="1:26" x14ac:dyDescent="0.2">
      <c r="A93" s="114" t="str">
        <f>$A$13</f>
        <v>Generationentafel</v>
      </c>
      <c r="B93" s="36">
        <v>5</v>
      </c>
      <c r="C93" s="10">
        <v>65878</v>
      </c>
      <c r="D93" s="10">
        <v>27110</v>
      </c>
      <c r="E93" s="154">
        <v>24691.325000000001</v>
      </c>
      <c r="F93" s="37">
        <f>E93/E$116</f>
        <v>0.18424970854998957</v>
      </c>
      <c r="G93" s="53">
        <v>5</v>
      </c>
      <c r="H93" s="54">
        <v>66167</v>
      </c>
      <c r="I93" s="54">
        <v>25179</v>
      </c>
      <c r="J93" s="164">
        <v>23185.317999999999</v>
      </c>
      <c r="K93" s="56">
        <f>J93/J$116</f>
        <v>0.18216369776124947</v>
      </c>
      <c r="L93" s="136">
        <v>8</v>
      </c>
      <c r="M93" s="137">
        <v>70159</v>
      </c>
      <c r="N93" s="137">
        <v>29036</v>
      </c>
      <c r="O93" s="171">
        <v>24552.415000000001</v>
      </c>
      <c r="P93" s="139">
        <f>O93/O$116</f>
        <v>0.20589371014152533</v>
      </c>
      <c r="Q93" s="136">
        <v>7</v>
      </c>
      <c r="R93" s="137">
        <v>24971</v>
      </c>
      <c r="S93" s="137">
        <v>14164</v>
      </c>
      <c r="T93" s="171">
        <v>9950.4969999999994</v>
      </c>
      <c r="U93" s="139">
        <f>T93/T$116</f>
        <v>7.9412676579831892E-2</v>
      </c>
      <c r="V93" s="136">
        <v>6</v>
      </c>
      <c r="W93" s="137">
        <v>20930</v>
      </c>
      <c r="X93" s="137">
        <v>11723</v>
      </c>
      <c r="Y93" s="171">
        <v>8325.2119999999995</v>
      </c>
      <c r="Z93" s="139">
        <f>Y93/Y$116</f>
        <v>6.4638650688047139E-2</v>
      </c>
    </row>
    <row r="94" spans="1:26" x14ac:dyDescent="0.2">
      <c r="A94" s="114" t="str">
        <f>$A$14</f>
        <v>keine selbst erbrachten Rentenleistungen</v>
      </c>
      <c r="B94" s="36">
        <v>0</v>
      </c>
      <c r="C94" s="10">
        <v>0</v>
      </c>
      <c r="D94" s="10">
        <v>0</v>
      </c>
      <c r="E94" s="154">
        <v>0</v>
      </c>
      <c r="F94" s="37">
        <f>E94/E$116</f>
        <v>0</v>
      </c>
      <c r="G94" s="53">
        <v>0</v>
      </c>
      <c r="H94" s="54">
        <v>0</v>
      </c>
      <c r="I94" s="54">
        <v>0</v>
      </c>
      <c r="J94" s="164">
        <v>0</v>
      </c>
      <c r="K94" s="56">
        <f>J94/J$116</f>
        <v>0</v>
      </c>
      <c r="L94" s="136">
        <v>0</v>
      </c>
      <c r="M94" s="137">
        <v>0</v>
      </c>
      <c r="N94" s="137">
        <v>0</v>
      </c>
      <c r="O94" s="171">
        <v>0</v>
      </c>
      <c r="P94" s="139">
        <f>O94/O$116</f>
        <v>0</v>
      </c>
      <c r="Q94" s="136">
        <v>0</v>
      </c>
      <c r="R94" s="137">
        <v>0</v>
      </c>
      <c r="S94" s="137">
        <v>0</v>
      </c>
      <c r="T94" s="171">
        <v>0</v>
      </c>
      <c r="U94" s="139">
        <f>T94/T$116</f>
        <v>0</v>
      </c>
      <c r="V94" s="136">
        <v>2</v>
      </c>
      <c r="W94" s="137">
        <v>396</v>
      </c>
      <c r="X94" s="137">
        <v>103</v>
      </c>
      <c r="Y94" s="171">
        <v>25.751999999999999</v>
      </c>
      <c r="Z94" s="139">
        <f>Y94/Y$116</f>
        <v>1.9994380113306303E-4</v>
      </c>
    </row>
    <row r="95" spans="1:26" ht="12.75" hidden="1" customHeight="1" x14ac:dyDescent="0.2">
      <c r="A95" s="114">
        <f>$A$15</f>
        <v>0</v>
      </c>
      <c r="B95" s="36"/>
      <c r="C95" s="10"/>
      <c r="D95" s="10"/>
      <c r="E95" s="154"/>
      <c r="F95" s="37"/>
      <c r="G95" s="53"/>
      <c r="H95" s="54"/>
      <c r="I95" s="54"/>
      <c r="J95" s="164"/>
      <c r="K95" s="56"/>
      <c r="L95" s="136"/>
      <c r="M95" s="137"/>
      <c r="N95" s="137"/>
      <c r="O95" s="171"/>
      <c r="P95" s="139"/>
      <c r="Q95" s="136"/>
      <c r="R95" s="137"/>
      <c r="S95" s="137"/>
      <c r="T95" s="171"/>
      <c r="U95" s="139"/>
      <c r="V95" s="136"/>
      <c r="W95" s="137"/>
      <c r="X95" s="137"/>
      <c r="Y95" s="171"/>
      <c r="Z95" s="139"/>
    </row>
    <row r="96" spans="1:26" ht="12.75" hidden="1" customHeight="1" x14ac:dyDescent="0.2">
      <c r="A96" s="114">
        <f>$A$16</f>
        <v>0</v>
      </c>
      <c r="B96" s="36"/>
      <c r="C96" s="10"/>
      <c r="D96" s="10"/>
      <c r="E96" s="154"/>
      <c r="F96" s="37"/>
      <c r="G96" s="53"/>
      <c r="H96" s="54"/>
      <c r="I96" s="54"/>
      <c r="J96" s="164"/>
      <c r="K96" s="56"/>
      <c r="L96" s="136"/>
      <c r="M96" s="137"/>
      <c r="N96" s="137"/>
      <c r="O96" s="171"/>
      <c r="P96" s="139"/>
      <c r="Q96" s="136"/>
      <c r="R96" s="137"/>
      <c r="S96" s="137"/>
      <c r="T96" s="171"/>
      <c r="U96" s="139"/>
      <c r="V96" s="136"/>
      <c r="W96" s="137"/>
      <c r="X96" s="137"/>
      <c r="Y96" s="171"/>
      <c r="Z96" s="139"/>
    </row>
    <row r="97" spans="1:26" ht="12.75" hidden="1" customHeight="1" x14ac:dyDescent="0.2">
      <c r="A97" s="114">
        <f>$A$17</f>
        <v>0</v>
      </c>
      <c r="B97" s="36"/>
      <c r="C97" s="10"/>
      <c r="D97" s="10"/>
      <c r="E97" s="154"/>
      <c r="F97" s="37"/>
      <c r="G97" s="53"/>
      <c r="H97" s="54"/>
      <c r="I97" s="54"/>
      <c r="J97" s="164"/>
      <c r="K97" s="56"/>
      <c r="L97" s="136"/>
      <c r="M97" s="137"/>
      <c r="N97" s="137"/>
      <c r="O97" s="171"/>
      <c r="P97" s="139"/>
      <c r="Q97" s="136"/>
      <c r="R97" s="137"/>
      <c r="S97" s="137"/>
      <c r="T97" s="171"/>
      <c r="U97" s="139"/>
      <c r="V97" s="136"/>
      <c r="W97" s="137"/>
      <c r="X97" s="137"/>
      <c r="Y97" s="171"/>
      <c r="Z97" s="139"/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9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127277.379</v>
      </c>
      <c r="K116" s="72">
        <f t="shared" ref="K116" si="10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119248.00899999999</v>
      </c>
      <c r="P116" s="143">
        <f t="shared" ref="P116" si="11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12">SUM(U$92:U$115)</f>
        <v>1</v>
      </c>
      <c r="V116" s="140">
        <f t="shared" si="12"/>
        <v>58</v>
      </c>
      <c r="W116" s="141">
        <f t="shared" si="12"/>
        <v>358116</v>
      </c>
      <c r="X116" s="141">
        <f t="shared" si="12"/>
        <v>159705</v>
      </c>
      <c r="Y116" s="172">
        <f t="shared" si="12"/>
        <v>128796.19099999999</v>
      </c>
      <c r="Z116" s="143">
        <f t="shared" si="12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2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Translation!$A$130</f>
        <v>Technischer Zinssatz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Translation!$A131</f>
        <v>keine selbst erbrachten Rentenleistungen</v>
      </c>
      <c r="B12" s="30">
        <v>309</v>
      </c>
      <c r="C12" s="6">
        <v>1072805</v>
      </c>
      <c r="D12" s="6">
        <v>176</v>
      </c>
      <c r="E12" s="150">
        <v>105938.598</v>
      </c>
      <c r="F12" s="31">
        <f t="shared" ref="F12:F18" si="0">E12/E$36</f>
        <v>0.11728111460575349</v>
      </c>
      <c r="G12" s="41">
        <v>304</v>
      </c>
      <c r="H12" s="42">
        <v>1158150</v>
      </c>
      <c r="I12" s="42">
        <v>54</v>
      </c>
      <c r="J12" s="160">
        <v>111452.659</v>
      </c>
      <c r="K12" s="44">
        <f t="shared" ref="K12:K18" si="1">J12/J$36</f>
        <v>0.12958629985815526</v>
      </c>
      <c r="L12" s="76">
        <v>330</v>
      </c>
      <c r="M12" s="122">
        <v>1278572</v>
      </c>
      <c r="N12" s="122">
        <v>11197</v>
      </c>
      <c r="O12" s="167">
        <v>117896.05</v>
      </c>
      <c r="P12" s="124">
        <f t="shared" ref="P12:P18" si="2">O12/O$36</f>
        <v>0.14321156491834844</v>
      </c>
      <c r="Q12" s="76">
        <v>356</v>
      </c>
      <c r="R12" s="122">
        <v>1304459</v>
      </c>
      <c r="S12" s="122">
        <v>14443</v>
      </c>
      <c r="T12" s="167">
        <v>119346.473</v>
      </c>
      <c r="U12" s="124">
        <f t="shared" ref="U12:U18" si="3">T12/T$36</f>
        <v>0.14843516080035793</v>
      </c>
      <c r="V12" s="76">
        <v>335</v>
      </c>
      <c r="W12" s="122">
        <v>1342980</v>
      </c>
      <c r="X12" s="122">
        <v>111214</v>
      </c>
      <c r="Y12" s="167">
        <v>68328.032999999996</v>
      </c>
      <c r="Z12" s="124">
        <f t="shared" ref="Z12:Z18" si="4">Y12/Y$36</f>
        <v>9.1659520861515353E-2</v>
      </c>
    </row>
    <row r="13" spans="1:26" x14ac:dyDescent="0.2">
      <c r="A13" s="114" t="str">
        <f>Translation!$A132</f>
        <v>unter 2.00%</v>
      </c>
      <c r="B13" s="30">
        <v>269</v>
      </c>
      <c r="C13" s="6">
        <v>318398</v>
      </c>
      <c r="D13" s="6">
        <v>100367</v>
      </c>
      <c r="E13" s="150">
        <v>82341.591</v>
      </c>
      <c r="F13" s="31">
        <f t="shared" si="0"/>
        <v>9.1157649366768859E-2</v>
      </c>
      <c r="G13" s="41">
        <v>163</v>
      </c>
      <c r="H13" s="42">
        <v>115918</v>
      </c>
      <c r="I13" s="42">
        <v>49691</v>
      </c>
      <c r="J13" s="160">
        <v>38579.061999999998</v>
      </c>
      <c r="K13" s="44">
        <f t="shared" si="1"/>
        <v>4.4855976891303807E-2</v>
      </c>
      <c r="L13" s="76">
        <v>82</v>
      </c>
      <c r="M13" s="122">
        <v>41775</v>
      </c>
      <c r="N13" s="122">
        <v>21630</v>
      </c>
      <c r="O13" s="167">
        <v>16439.016</v>
      </c>
      <c r="P13" s="124">
        <f t="shared" si="2"/>
        <v>1.9968923531176564E-2</v>
      </c>
      <c r="Q13" s="76">
        <v>45</v>
      </c>
      <c r="R13" s="122">
        <v>20760</v>
      </c>
      <c r="S13" s="122">
        <v>12823</v>
      </c>
      <c r="T13" s="167">
        <v>9011.3449999999993</v>
      </c>
      <c r="U13" s="124">
        <f t="shared" si="3"/>
        <v>1.1207708200161905E-2</v>
      </c>
      <c r="V13" s="76">
        <v>26</v>
      </c>
      <c r="W13" s="122">
        <v>7556</v>
      </c>
      <c r="X13" s="122">
        <v>8964</v>
      </c>
      <c r="Y13" s="167">
        <v>2809.8469999999998</v>
      </c>
      <c r="Z13" s="124">
        <f t="shared" si="4"/>
        <v>3.7693054871660997E-3</v>
      </c>
    </row>
    <row r="14" spans="1:26" x14ac:dyDescent="0.2">
      <c r="A14" s="114" t="str">
        <f>Translation!$A133</f>
        <v>2.00% – 2.49%</v>
      </c>
      <c r="B14" s="30">
        <v>710</v>
      </c>
      <c r="C14" s="6">
        <v>1347597</v>
      </c>
      <c r="D14" s="6">
        <v>391781</v>
      </c>
      <c r="E14" s="150">
        <v>353417.81800000003</v>
      </c>
      <c r="F14" s="31">
        <f t="shared" si="0"/>
        <v>0.39125716593467974</v>
      </c>
      <c r="G14" s="41">
        <v>505</v>
      </c>
      <c r="H14" s="42">
        <v>904035</v>
      </c>
      <c r="I14" s="42">
        <v>289315</v>
      </c>
      <c r="J14" s="160">
        <v>243850.74799999999</v>
      </c>
      <c r="K14" s="44">
        <f t="shared" si="1"/>
        <v>0.28352590628603536</v>
      </c>
      <c r="L14" s="76">
        <v>249</v>
      </c>
      <c r="M14" s="122">
        <v>329132</v>
      </c>
      <c r="N14" s="122">
        <v>110130</v>
      </c>
      <c r="O14" s="167">
        <v>105338.84400000001</v>
      </c>
      <c r="P14" s="124">
        <f t="shared" si="2"/>
        <v>0.12795798244241244</v>
      </c>
      <c r="Q14" s="76">
        <v>108</v>
      </c>
      <c r="R14" s="122">
        <v>88715</v>
      </c>
      <c r="S14" s="122">
        <v>47706</v>
      </c>
      <c r="T14" s="167">
        <v>41440.953000000001</v>
      </c>
      <c r="U14" s="124">
        <f t="shared" si="3"/>
        <v>5.1541485622914683E-2</v>
      </c>
      <c r="V14" s="76">
        <v>58</v>
      </c>
      <c r="W14" s="122">
        <v>32858</v>
      </c>
      <c r="X14" s="122">
        <v>12442</v>
      </c>
      <c r="Y14" s="167">
        <v>10471.047</v>
      </c>
      <c r="Z14" s="124">
        <f t="shared" si="4"/>
        <v>1.4046521007540315E-2</v>
      </c>
    </row>
    <row r="15" spans="1:26" x14ac:dyDescent="0.2">
      <c r="A15" s="114" t="str">
        <f>Translation!$A134</f>
        <v>2.50% – 2.99%</v>
      </c>
      <c r="B15" s="30">
        <v>289</v>
      </c>
      <c r="C15" s="6">
        <v>1121669</v>
      </c>
      <c r="D15" s="6">
        <v>306444</v>
      </c>
      <c r="E15" s="150">
        <v>266709.77399999998</v>
      </c>
      <c r="F15" s="31">
        <f t="shared" si="0"/>
        <v>0.29526556100892154</v>
      </c>
      <c r="G15" s="41">
        <v>493</v>
      </c>
      <c r="H15" s="42">
        <v>1011879</v>
      </c>
      <c r="I15" s="42">
        <v>306152</v>
      </c>
      <c r="J15" s="160">
        <v>270124.63500000001</v>
      </c>
      <c r="K15" s="44">
        <f t="shared" si="1"/>
        <v>0.3140746238291609</v>
      </c>
      <c r="L15" s="76">
        <v>566</v>
      </c>
      <c r="M15" s="122">
        <v>1027943</v>
      </c>
      <c r="N15" s="122">
        <v>341226</v>
      </c>
      <c r="O15" s="167">
        <v>275805.61700000003</v>
      </c>
      <c r="P15" s="124">
        <f t="shared" si="2"/>
        <v>0.33502864620011147</v>
      </c>
      <c r="Q15" s="76">
        <v>375</v>
      </c>
      <c r="R15" s="122">
        <v>641845</v>
      </c>
      <c r="S15" s="122">
        <v>200146</v>
      </c>
      <c r="T15" s="167">
        <v>164679.35900000003</v>
      </c>
      <c r="U15" s="124">
        <f t="shared" si="3"/>
        <v>0.20481717238233654</v>
      </c>
      <c r="V15" s="76">
        <v>303</v>
      </c>
      <c r="W15" s="122">
        <v>481886</v>
      </c>
      <c r="X15" s="122">
        <v>147374</v>
      </c>
      <c r="Y15" s="167">
        <v>114208.087</v>
      </c>
      <c r="Z15" s="124">
        <f t="shared" si="4"/>
        <v>0.15320591085843582</v>
      </c>
    </row>
    <row r="16" spans="1:26" x14ac:dyDescent="0.2">
      <c r="A16" s="114" t="str">
        <f>Translation!$A135</f>
        <v>3.00% – 3.49%</v>
      </c>
      <c r="B16" s="30">
        <v>61</v>
      </c>
      <c r="C16" s="6">
        <v>283608</v>
      </c>
      <c r="D16" s="6">
        <v>104218</v>
      </c>
      <c r="E16" s="150">
        <v>83763.236000000004</v>
      </c>
      <c r="F16" s="31">
        <f t="shared" si="0"/>
        <v>9.2731505480795368E-2</v>
      </c>
      <c r="G16" s="41">
        <v>170</v>
      </c>
      <c r="H16" s="42">
        <v>714874</v>
      </c>
      <c r="I16" s="42">
        <v>193694</v>
      </c>
      <c r="J16" s="160">
        <v>159912.02900000001</v>
      </c>
      <c r="K16" s="44">
        <f t="shared" si="1"/>
        <v>0.18593013685676196</v>
      </c>
      <c r="L16" s="76">
        <v>418</v>
      </c>
      <c r="M16" s="122">
        <v>1141757</v>
      </c>
      <c r="N16" s="122">
        <v>317983</v>
      </c>
      <c r="O16" s="167">
        <v>251443.37099999998</v>
      </c>
      <c r="P16" s="124">
        <f t="shared" si="2"/>
        <v>0.30543515791457704</v>
      </c>
      <c r="Q16" s="76">
        <v>733</v>
      </c>
      <c r="R16" s="122">
        <v>1325050</v>
      </c>
      <c r="S16" s="122">
        <v>400397</v>
      </c>
      <c r="T16" s="167">
        <v>322191.565</v>
      </c>
      <c r="U16" s="124">
        <f t="shared" si="3"/>
        <v>0.40072031922798401</v>
      </c>
      <c r="V16" s="76">
        <v>716</v>
      </c>
      <c r="W16" s="122">
        <v>1290590</v>
      </c>
      <c r="X16" s="122">
        <v>418577</v>
      </c>
      <c r="Y16" s="167">
        <v>362661.33</v>
      </c>
      <c r="Z16" s="124">
        <f t="shared" si="4"/>
        <v>0.48649671713511655</v>
      </c>
    </row>
    <row r="17" spans="1:26" ht="12.75" customHeight="1" x14ac:dyDescent="0.2">
      <c r="A17" s="110" t="str">
        <f>Translation!$A136</f>
        <v>3.50% – 3.99%</v>
      </c>
      <c r="B17" s="30">
        <v>12</v>
      </c>
      <c r="C17" s="6">
        <v>30612</v>
      </c>
      <c r="D17" s="6">
        <v>14213</v>
      </c>
      <c r="E17" s="150">
        <v>10799.363000000001</v>
      </c>
      <c r="F17" s="31">
        <f t="shared" si="0"/>
        <v>1.1955617249834984E-2</v>
      </c>
      <c r="G17" s="41">
        <v>39</v>
      </c>
      <c r="H17" s="42">
        <v>143876</v>
      </c>
      <c r="I17" s="42">
        <v>49587</v>
      </c>
      <c r="J17" s="160">
        <v>35806.68</v>
      </c>
      <c r="K17" s="44">
        <f t="shared" si="1"/>
        <v>4.1632521045594895E-2</v>
      </c>
      <c r="L17" s="76">
        <v>85</v>
      </c>
      <c r="M17" s="122">
        <v>194400</v>
      </c>
      <c r="N17" s="122">
        <v>60271</v>
      </c>
      <c r="O17" s="167">
        <v>44618.203000000001</v>
      </c>
      <c r="P17" s="124">
        <f t="shared" si="2"/>
        <v>5.4198954718792949E-2</v>
      </c>
      <c r="Q17" s="76">
        <v>199</v>
      </c>
      <c r="R17" s="122">
        <v>554453</v>
      </c>
      <c r="S17" s="122">
        <v>161377</v>
      </c>
      <c r="T17" s="167">
        <v>125226.629</v>
      </c>
      <c r="U17" s="124">
        <f t="shared" si="3"/>
        <v>0.15574850554738862</v>
      </c>
      <c r="V17" s="76">
        <v>405</v>
      </c>
      <c r="W17" s="122">
        <v>648602</v>
      </c>
      <c r="X17" s="122">
        <v>188666</v>
      </c>
      <c r="Y17" s="167">
        <v>144948.527</v>
      </c>
      <c r="Z17" s="124">
        <f t="shared" si="4"/>
        <v>0.19444307045107567</v>
      </c>
    </row>
    <row r="18" spans="1:26" ht="12.75" customHeight="1" x14ac:dyDescent="0.2">
      <c r="A18" s="110" t="str">
        <f>Translation!$A137</f>
        <v>4.00% oder höher</v>
      </c>
      <c r="B18" s="30">
        <v>4</v>
      </c>
      <c r="C18" s="6">
        <v>1223</v>
      </c>
      <c r="D18" s="6">
        <v>292</v>
      </c>
      <c r="E18" s="150">
        <v>317.40300000000002</v>
      </c>
      <c r="F18" s="31">
        <f t="shared" si="0"/>
        <v>3.5138635324596213E-4</v>
      </c>
      <c r="G18" s="41">
        <v>8</v>
      </c>
      <c r="H18" s="42">
        <v>1362</v>
      </c>
      <c r="I18" s="42">
        <v>332</v>
      </c>
      <c r="J18" s="160">
        <v>339.32600000000002</v>
      </c>
      <c r="K18" s="44">
        <f t="shared" si="1"/>
        <v>3.9453523298774233E-4</v>
      </c>
      <c r="L18" s="76">
        <v>13</v>
      </c>
      <c r="M18" s="122">
        <v>24576</v>
      </c>
      <c r="N18" s="122">
        <v>16164</v>
      </c>
      <c r="O18" s="167">
        <v>11688.853000000001</v>
      </c>
      <c r="P18" s="124">
        <f t="shared" si="2"/>
        <v>1.4198770274581142E-2</v>
      </c>
      <c r="Q18" s="76">
        <v>29</v>
      </c>
      <c r="R18" s="122">
        <v>68755</v>
      </c>
      <c r="S18" s="122">
        <v>31926</v>
      </c>
      <c r="T18" s="167">
        <v>22134.690999999999</v>
      </c>
      <c r="U18" s="124">
        <f t="shared" si="3"/>
        <v>2.7529648218856333E-2</v>
      </c>
      <c r="V18" s="76">
        <v>62</v>
      </c>
      <c r="W18" s="122">
        <v>128276</v>
      </c>
      <c r="X18" s="122">
        <v>56095</v>
      </c>
      <c r="Y18" s="167">
        <v>42027.964</v>
      </c>
      <c r="Z18" s="124">
        <f t="shared" si="4"/>
        <v>5.6378954199150101E-2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860065.13900000008</v>
      </c>
      <c r="K36" s="66">
        <f>SUM(K$12:K$35)</f>
        <v>0.99999999999999989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745454.83500000008</v>
      </c>
      <c r="Z36" s="127">
        <f t="shared" si="9"/>
        <v>0.99999999999999989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keine selbst erbrachten Rentenleistungen</v>
      </c>
      <c r="B52" s="33">
        <v>309</v>
      </c>
      <c r="C52" s="8">
        <v>1072805</v>
      </c>
      <c r="D52" s="8">
        <v>176</v>
      </c>
      <c r="E52" s="152">
        <v>105938.598</v>
      </c>
      <c r="F52" s="34">
        <f t="shared" ref="F52:F58" si="10">E52/E$76</f>
        <v>0.13771178169105977</v>
      </c>
      <c r="G52" s="47">
        <v>304</v>
      </c>
      <c r="H52" s="48">
        <v>1158150</v>
      </c>
      <c r="I52" s="48">
        <v>54</v>
      </c>
      <c r="J52" s="162">
        <v>111452.659</v>
      </c>
      <c r="K52" s="50">
        <f t="shared" ref="K52:K58" si="11">J52/J$76</f>
        <v>0.15209405107967414</v>
      </c>
      <c r="L52" s="128">
        <v>330</v>
      </c>
      <c r="M52" s="129">
        <v>1278572</v>
      </c>
      <c r="N52" s="129">
        <v>11197</v>
      </c>
      <c r="O52" s="169">
        <v>117896.05</v>
      </c>
      <c r="P52" s="131">
        <f t="shared" ref="P52:P58" si="12">O52/O$76</f>
        <v>0.16747027510769472</v>
      </c>
      <c r="Q52" s="128">
        <v>356</v>
      </c>
      <c r="R52" s="129">
        <v>1304459</v>
      </c>
      <c r="S52" s="129">
        <v>14443</v>
      </c>
      <c r="T52" s="169">
        <v>119346.473</v>
      </c>
      <c r="U52" s="131">
        <f t="shared" ref="U52:U58" si="13">T52/T$76</f>
        <v>0.17583794846202874</v>
      </c>
      <c r="V52" s="128">
        <v>333</v>
      </c>
      <c r="W52" s="129">
        <v>1342584</v>
      </c>
      <c r="X52" s="129">
        <v>111111</v>
      </c>
      <c r="Y52" s="169">
        <v>68302.281000000003</v>
      </c>
      <c r="Z52" s="131">
        <f t="shared" ref="Z52:Z58" si="14">Y52/Y$76</f>
        <v>0.11076189665801554</v>
      </c>
    </row>
    <row r="53" spans="1:26" x14ac:dyDescent="0.2">
      <c r="A53" s="114" t="str">
        <f>$A$13</f>
        <v>unter 2.00%</v>
      </c>
      <c r="B53" s="33">
        <v>265</v>
      </c>
      <c r="C53" s="8">
        <v>307288</v>
      </c>
      <c r="D53" s="8">
        <v>96878</v>
      </c>
      <c r="E53" s="152">
        <v>78379.301999999996</v>
      </c>
      <c r="F53" s="34">
        <f t="shared" si="10"/>
        <v>0.10188688098479126</v>
      </c>
      <c r="G53" s="47">
        <v>162</v>
      </c>
      <c r="H53" s="48">
        <v>115907</v>
      </c>
      <c r="I53" s="48">
        <v>49666</v>
      </c>
      <c r="J53" s="162">
        <v>38520.199999999997</v>
      </c>
      <c r="K53" s="50">
        <f t="shared" si="11"/>
        <v>5.2566653132961716E-2</v>
      </c>
      <c r="L53" s="128">
        <v>81</v>
      </c>
      <c r="M53" s="129">
        <v>41764</v>
      </c>
      <c r="N53" s="129">
        <v>21604</v>
      </c>
      <c r="O53" s="169">
        <v>16381.292000000001</v>
      </c>
      <c r="P53" s="131">
        <f t="shared" si="12"/>
        <v>2.326947745797657E-2</v>
      </c>
      <c r="Q53" s="128">
        <v>44</v>
      </c>
      <c r="R53" s="129">
        <v>20752</v>
      </c>
      <c r="S53" s="129">
        <v>12796</v>
      </c>
      <c r="T53" s="169">
        <v>8952.9069999999992</v>
      </c>
      <c r="U53" s="131">
        <f t="shared" si="13"/>
        <v>1.3190677194552171E-2</v>
      </c>
      <c r="V53" s="128">
        <v>26</v>
      </c>
      <c r="W53" s="129">
        <v>7556</v>
      </c>
      <c r="X53" s="129">
        <v>8964</v>
      </c>
      <c r="Y53" s="169">
        <v>2809.8469999999998</v>
      </c>
      <c r="Z53" s="131">
        <f t="shared" si="14"/>
        <v>4.5565679283658912E-3</v>
      </c>
    </row>
    <row r="54" spans="1:26" x14ac:dyDescent="0.2">
      <c r="A54" s="114" t="str">
        <f>$A$14</f>
        <v>2.00% – 2.49%</v>
      </c>
      <c r="B54" s="33">
        <v>699</v>
      </c>
      <c r="C54" s="8">
        <v>1308775</v>
      </c>
      <c r="D54" s="8">
        <v>371446</v>
      </c>
      <c r="E54" s="152">
        <v>338339.42800000001</v>
      </c>
      <c r="F54" s="34">
        <f t="shared" si="10"/>
        <v>0.43981444276064557</v>
      </c>
      <c r="G54" s="47">
        <v>496</v>
      </c>
      <c r="H54" s="48">
        <v>872132</v>
      </c>
      <c r="I54" s="48">
        <v>274766</v>
      </c>
      <c r="J54" s="162">
        <v>231241.277</v>
      </c>
      <c r="K54" s="50">
        <f t="shared" si="11"/>
        <v>0.31556378206972235</v>
      </c>
      <c r="L54" s="128">
        <v>247</v>
      </c>
      <c r="M54" s="129">
        <v>318761</v>
      </c>
      <c r="N54" s="129">
        <v>107089</v>
      </c>
      <c r="O54" s="169">
        <v>101945.69100000001</v>
      </c>
      <c r="P54" s="131">
        <f t="shared" si="12"/>
        <v>0.1448129340873934</v>
      </c>
      <c r="Q54" s="128">
        <v>108</v>
      </c>
      <c r="R54" s="129">
        <v>88715</v>
      </c>
      <c r="S54" s="129">
        <v>47706</v>
      </c>
      <c r="T54" s="169">
        <v>41440.953000000001</v>
      </c>
      <c r="U54" s="131">
        <f t="shared" si="13"/>
        <v>6.1056619225197853E-2</v>
      </c>
      <c r="V54" s="128">
        <v>58</v>
      </c>
      <c r="W54" s="129">
        <v>32858</v>
      </c>
      <c r="X54" s="129">
        <v>12442</v>
      </c>
      <c r="Y54" s="169">
        <v>10471.047</v>
      </c>
      <c r="Z54" s="131">
        <f t="shared" si="14"/>
        <v>1.6980297125292546E-2</v>
      </c>
    </row>
    <row r="55" spans="1:26" x14ac:dyDescent="0.2">
      <c r="A55" s="114" t="str">
        <f>$A$15</f>
        <v>2.50% – 2.99%</v>
      </c>
      <c r="B55" s="33">
        <v>276</v>
      </c>
      <c r="C55" s="8">
        <v>935817</v>
      </c>
      <c r="D55" s="8">
        <v>219608</v>
      </c>
      <c r="E55" s="152">
        <v>188128.52100000001</v>
      </c>
      <c r="F55" s="34">
        <f t="shared" si="10"/>
        <v>0.24455216798143731</v>
      </c>
      <c r="G55" s="47">
        <v>481</v>
      </c>
      <c r="H55" s="48">
        <v>886253</v>
      </c>
      <c r="I55" s="48">
        <v>251924</v>
      </c>
      <c r="J55" s="162">
        <v>221964.40100000001</v>
      </c>
      <c r="K55" s="50">
        <f t="shared" si="11"/>
        <v>0.30290407825589227</v>
      </c>
      <c r="L55" s="128">
        <v>557</v>
      </c>
      <c r="M55" s="129">
        <v>981552</v>
      </c>
      <c r="N55" s="129">
        <v>320132</v>
      </c>
      <c r="O55" s="169">
        <v>258884.459</v>
      </c>
      <c r="P55" s="131">
        <f t="shared" si="12"/>
        <v>0.36774303778486822</v>
      </c>
      <c r="Q55" s="128">
        <v>371</v>
      </c>
      <c r="R55" s="129">
        <v>601359</v>
      </c>
      <c r="S55" s="129">
        <v>182341</v>
      </c>
      <c r="T55" s="169">
        <v>149354.60200000001</v>
      </c>
      <c r="U55" s="131">
        <f t="shared" si="13"/>
        <v>0.22005012924883688</v>
      </c>
      <c r="V55" s="128">
        <v>301</v>
      </c>
      <c r="W55" s="129">
        <v>446732</v>
      </c>
      <c r="X55" s="129">
        <v>134157</v>
      </c>
      <c r="Y55" s="169">
        <v>101525.628</v>
      </c>
      <c r="Z55" s="131">
        <f t="shared" si="14"/>
        <v>0.16463829541323999</v>
      </c>
    </row>
    <row r="56" spans="1:26" x14ac:dyDescent="0.2">
      <c r="A56" s="114" t="str">
        <f>$A$16</f>
        <v>3.00% – 3.49%</v>
      </c>
      <c r="B56" s="33">
        <v>53</v>
      </c>
      <c r="C56" s="8">
        <v>213257</v>
      </c>
      <c r="D56" s="8">
        <v>68051</v>
      </c>
      <c r="E56" s="152">
        <v>53573.635999999999</v>
      </c>
      <c r="F56" s="34">
        <f t="shared" si="10"/>
        <v>6.9641481051394519E-2</v>
      </c>
      <c r="G56" s="47">
        <v>159</v>
      </c>
      <c r="H56" s="48">
        <v>585534</v>
      </c>
      <c r="I56" s="48">
        <v>130716</v>
      </c>
      <c r="J56" s="162">
        <v>107257.508</v>
      </c>
      <c r="K56" s="50">
        <f t="shared" si="11"/>
        <v>0.14636913149313521</v>
      </c>
      <c r="L56" s="128">
        <v>401</v>
      </c>
      <c r="M56" s="129">
        <v>949463</v>
      </c>
      <c r="N56" s="129">
        <v>232632</v>
      </c>
      <c r="O56" s="169">
        <v>177555.427</v>
      </c>
      <c r="P56" s="131">
        <f t="shared" si="12"/>
        <v>0.25221588175816073</v>
      </c>
      <c r="Q56" s="128">
        <v>708</v>
      </c>
      <c r="R56" s="129">
        <v>1150747</v>
      </c>
      <c r="S56" s="129">
        <v>323865</v>
      </c>
      <c r="T56" s="169">
        <v>257768.3</v>
      </c>
      <c r="U56" s="131">
        <f t="shared" si="13"/>
        <v>0.37978038153289007</v>
      </c>
      <c r="V56" s="128">
        <v>689</v>
      </c>
      <c r="W56" s="129">
        <v>1129121</v>
      </c>
      <c r="X56" s="129">
        <v>345079</v>
      </c>
      <c r="Y56" s="169">
        <v>302279.99300000002</v>
      </c>
      <c r="Z56" s="131">
        <f t="shared" si="14"/>
        <v>0.49019014967379582</v>
      </c>
    </row>
    <row r="57" spans="1:26" ht="12.75" customHeight="1" x14ac:dyDescent="0.2">
      <c r="A57" s="114" t="str">
        <f>$A$17</f>
        <v>3.50% – 3.99%</v>
      </c>
      <c r="B57" s="33">
        <v>10</v>
      </c>
      <c r="C57" s="8">
        <v>11024</v>
      </c>
      <c r="D57" s="8">
        <v>4856</v>
      </c>
      <c r="E57" s="152">
        <v>4600.7780000000002</v>
      </c>
      <c r="F57" s="34">
        <f t="shared" si="10"/>
        <v>5.9806467850842303E-3</v>
      </c>
      <c r="G57" s="47">
        <v>33</v>
      </c>
      <c r="H57" s="48">
        <v>108716</v>
      </c>
      <c r="I57" s="48">
        <v>31269</v>
      </c>
      <c r="J57" s="162">
        <v>22012.388999999999</v>
      </c>
      <c r="K57" s="50">
        <f t="shared" si="11"/>
        <v>3.0039242194765916E-2</v>
      </c>
      <c r="L57" s="128">
        <v>78</v>
      </c>
      <c r="M57" s="129">
        <v>157628</v>
      </c>
      <c r="N57" s="129">
        <v>41413</v>
      </c>
      <c r="O57" s="169">
        <v>30661.078000000001</v>
      </c>
      <c r="P57" s="131">
        <f t="shared" si="12"/>
        <v>4.3553784607359501E-2</v>
      </c>
      <c r="Q57" s="128">
        <v>190</v>
      </c>
      <c r="R57" s="129">
        <v>479075</v>
      </c>
      <c r="S57" s="129">
        <v>127522</v>
      </c>
      <c r="T57" s="169">
        <v>98287.134000000005</v>
      </c>
      <c r="U57" s="131">
        <f t="shared" si="13"/>
        <v>0.14481037912844325</v>
      </c>
      <c r="V57" s="128">
        <v>387</v>
      </c>
      <c r="W57" s="129">
        <v>564316</v>
      </c>
      <c r="X57" s="129">
        <v>150643</v>
      </c>
      <c r="Y57" s="169">
        <v>116124.50199999999</v>
      </c>
      <c r="Z57" s="131">
        <f t="shared" si="14"/>
        <v>0.18831245313736328</v>
      </c>
    </row>
    <row r="58" spans="1:26" ht="12.75" customHeight="1" x14ac:dyDescent="0.2">
      <c r="A58" s="114" t="str">
        <f>$A$18</f>
        <v>4.00% oder höher</v>
      </c>
      <c r="B58" s="33">
        <v>4</v>
      </c>
      <c r="C58" s="8">
        <v>1223</v>
      </c>
      <c r="D58" s="8">
        <v>292</v>
      </c>
      <c r="E58" s="152">
        <v>317.40300000000002</v>
      </c>
      <c r="F58" s="34">
        <f t="shared" si="10"/>
        <v>4.1259874558739632E-4</v>
      </c>
      <c r="G58" s="47">
        <v>8</v>
      </c>
      <c r="H58" s="48">
        <v>1362</v>
      </c>
      <c r="I58" s="48">
        <v>332</v>
      </c>
      <c r="J58" s="162">
        <v>339.32600000000002</v>
      </c>
      <c r="K58" s="50">
        <f t="shared" si="11"/>
        <v>4.63061773848406E-4</v>
      </c>
      <c r="L58" s="128">
        <v>11</v>
      </c>
      <c r="M58" s="129">
        <v>2072</v>
      </c>
      <c r="N58" s="129">
        <v>700</v>
      </c>
      <c r="O58" s="169">
        <v>657.94799999999998</v>
      </c>
      <c r="P58" s="131">
        <f t="shared" si="12"/>
        <v>9.3460919654693702E-4</v>
      </c>
      <c r="Q58" s="128">
        <v>25</v>
      </c>
      <c r="R58" s="129">
        <v>19550</v>
      </c>
      <c r="S58" s="129">
        <v>6233</v>
      </c>
      <c r="T58" s="169">
        <v>3579.5299999999997</v>
      </c>
      <c r="U58" s="131">
        <f t="shared" si="13"/>
        <v>5.2738652080508968E-3</v>
      </c>
      <c r="V58" s="128">
        <v>53</v>
      </c>
      <c r="W58" s="129">
        <v>51465</v>
      </c>
      <c r="X58" s="129">
        <v>21231</v>
      </c>
      <c r="Y58" s="169">
        <v>15145.346</v>
      </c>
      <c r="Z58" s="131">
        <f t="shared" si="14"/>
        <v>2.4560340063926839E-2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732787.76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1.0000000000000002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678729.89900000009</v>
      </c>
      <c r="U76" s="135">
        <f t="shared" ref="U76:Z76" si="18">SUM(U$52:U$75)</f>
        <v>0.99999999999999978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keine selbst erbrachten Rentenleistungen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2</v>
      </c>
      <c r="W92" s="137">
        <v>396</v>
      </c>
      <c r="X92" s="137">
        <v>103</v>
      </c>
      <c r="Y92" s="171">
        <v>25.751999999999999</v>
      </c>
      <c r="Z92" s="139">
        <f t="shared" ref="Z92:Z98" si="23">Y92/Y$116</f>
        <v>1.99943801133063E-4</v>
      </c>
    </row>
    <row r="93" spans="1:26" x14ac:dyDescent="0.2">
      <c r="A93" s="114" t="str">
        <f>$A$13</f>
        <v>unter 2.00%</v>
      </c>
      <c r="B93" s="36">
        <v>4</v>
      </c>
      <c r="C93" s="10">
        <v>11110</v>
      </c>
      <c r="D93" s="10">
        <v>3489</v>
      </c>
      <c r="E93" s="154">
        <v>3962.2890000000002</v>
      </c>
      <c r="F93" s="37">
        <f t="shared" si="19"/>
        <v>2.9567088580334574E-2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20"/>
        <v>4.6247023990021046E-4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 t="shared" si="21"/>
        <v>4.8406678219675762E-4</v>
      </c>
      <c r="Q93" s="136">
        <v>1</v>
      </c>
      <c r="R93" s="137">
        <v>8</v>
      </c>
      <c r="S93" s="137">
        <v>27</v>
      </c>
      <c r="T93" s="171">
        <v>58.438000000000002</v>
      </c>
      <c r="U93" s="139">
        <f t="shared" si="22"/>
        <v>4.6638052289973227E-4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3"/>
        <v>0</v>
      </c>
    </row>
    <row r="94" spans="1:26" x14ac:dyDescent="0.2">
      <c r="A94" s="114" t="str">
        <f>$A$14</f>
        <v>2.00% – 2.49%</v>
      </c>
      <c r="B94" s="36">
        <v>11</v>
      </c>
      <c r="C94" s="10">
        <v>38822</v>
      </c>
      <c r="D94" s="10">
        <v>20335</v>
      </c>
      <c r="E94" s="154">
        <v>15078.39</v>
      </c>
      <c r="F94" s="37">
        <f t="shared" si="19"/>
        <v>0.11251680348879928</v>
      </c>
      <c r="G94" s="53">
        <v>9</v>
      </c>
      <c r="H94" s="54">
        <v>31903</v>
      </c>
      <c r="I94" s="54">
        <v>14549</v>
      </c>
      <c r="J94" s="164">
        <v>12609.471</v>
      </c>
      <c r="K94" s="56">
        <f t="shared" si="20"/>
        <v>9.907079403324294E-2</v>
      </c>
      <c r="L94" s="136">
        <v>2</v>
      </c>
      <c r="M94" s="137">
        <v>10371</v>
      </c>
      <c r="N94" s="137">
        <v>3041</v>
      </c>
      <c r="O94" s="171">
        <v>3393.1529999999998</v>
      </c>
      <c r="P94" s="139">
        <f t="shared" si="21"/>
        <v>2.8454588285830414E-2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22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23"/>
        <v>0</v>
      </c>
    </row>
    <row r="95" spans="1:26" x14ac:dyDescent="0.2">
      <c r="A95" s="114" t="str">
        <f>$A$15</f>
        <v>2.50% – 2.99%</v>
      </c>
      <c r="B95" s="36">
        <v>13</v>
      </c>
      <c r="C95" s="10">
        <v>185852</v>
      </c>
      <c r="D95" s="10">
        <v>86836</v>
      </c>
      <c r="E95" s="154">
        <v>78581.252999999997</v>
      </c>
      <c r="F95" s="37">
        <f t="shared" si="19"/>
        <v>0.58638298927833932</v>
      </c>
      <c r="G95" s="53">
        <v>12</v>
      </c>
      <c r="H95" s="54">
        <v>125626</v>
      </c>
      <c r="I95" s="54">
        <v>54228</v>
      </c>
      <c r="J95" s="164">
        <v>48160.233999999997</v>
      </c>
      <c r="K95" s="56">
        <f t="shared" si="20"/>
        <v>0.37838800875998557</v>
      </c>
      <c r="L95" s="136">
        <v>9</v>
      </c>
      <c r="M95" s="137">
        <v>46391</v>
      </c>
      <c r="N95" s="137">
        <v>21094</v>
      </c>
      <c r="O95" s="171">
        <v>16921.157999999999</v>
      </c>
      <c r="P95" s="139">
        <f t="shared" si="21"/>
        <v>0.14189887229060569</v>
      </c>
      <c r="Q95" s="136">
        <v>4</v>
      </c>
      <c r="R95" s="137">
        <v>40486</v>
      </c>
      <c r="S95" s="137">
        <v>17805</v>
      </c>
      <c r="T95" s="171">
        <v>15324.757</v>
      </c>
      <c r="U95" s="139">
        <f t="shared" si="22"/>
        <v>0.12230343582893549</v>
      </c>
      <c r="V95" s="136">
        <v>2</v>
      </c>
      <c r="W95" s="137">
        <v>35154</v>
      </c>
      <c r="X95" s="137">
        <v>13217</v>
      </c>
      <c r="Y95" s="171">
        <v>12682.459000000001</v>
      </c>
      <c r="Z95" s="139">
        <f t="shared" si="23"/>
        <v>9.8469208611922376E-2</v>
      </c>
    </row>
    <row r="96" spans="1:26" x14ac:dyDescent="0.2">
      <c r="A96" s="114" t="str">
        <f>$A$16</f>
        <v>3.00% – 3.49%</v>
      </c>
      <c r="B96" s="36">
        <v>8</v>
      </c>
      <c r="C96" s="10">
        <v>70351</v>
      </c>
      <c r="D96" s="10">
        <v>36167</v>
      </c>
      <c r="E96" s="154">
        <v>30189.599999999999</v>
      </c>
      <c r="F96" s="37">
        <f t="shared" si="19"/>
        <v>0.22527851386026324</v>
      </c>
      <c r="G96" s="53">
        <v>11</v>
      </c>
      <c r="H96" s="54">
        <v>129340</v>
      </c>
      <c r="I96" s="54">
        <v>62978</v>
      </c>
      <c r="J96" s="164">
        <v>52654.521000000001</v>
      </c>
      <c r="K96" s="56">
        <f t="shared" si="20"/>
        <v>0.41369897316945853</v>
      </c>
      <c r="L96" s="136">
        <v>17</v>
      </c>
      <c r="M96" s="137">
        <v>192294</v>
      </c>
      <c r="N96" s="137">
        <v>85351</v>
      </c>
      <c r="O96" s="171">
        <v>73887.944000000003</v>
      </c>
      <c r="P96" s="139">
        <f t="shared" si="21"/>
        <v>0.61961574553416654</v>
      </c>
      <c r="Q96" s="136">
        <v>25</v>
      </c>
      <c r="R96" s="137">
        <v>174303</v>
      </c>
      <c r="S96" s="137">
        <v>76532</v>
      </c>
      <c r="T96" s="171">
        <v>64423.264999999999</v>
      </c>
      <c r="U96" s="139">
        <f t="shared" si="22"/>
        <v>0.51414757550922374</v>
      </c>
      <c r="V96" s="136">
        <v>27</v>
      </c>
      <c r="W96" s="137">
        <v>161469</v>
      </c>
      <c r="X96" s="137">
        <v>73498</v>
      </c>
      <c r="Y96" s="171">
        <v>60381.337</v>
      </c>
      <c r="Z96" s="139">
        <f t="shared" si="23"/>
        <v>0.46881306451058008</v>
      </c>
    </row>
    <row r="97" spans="1:26" ht="12.75" customHeight="1" x14ac:dyDescent="0.2">
      <c r="A97" s="114" t="str">
        <f>$A$17</f>
        <v>3.50% – 3.99%</v>
      </c>
      <c r="B97" s="36">
        <v>2</v>
      </c>
      <c r="C97" s="10">
        <v>19588</v>
      </c>
      <c r="D97" s="10">
        <v>9357</v>
      </c>
      <c r="E97" s="154">
        <v>6198.585</v>
      </c>
      <c r="F97" s="37">
        <f t="shared" si="19"/>
        <v>4.6254604792263558E-2</v>
      </c>
      <c r="G97" s="53">
        <v>6</v>
      </c>
      <c r="H97" s="54">
        <v>35160</v>
      </c>
      <c r="I97" s="54">
        <v>18318</v>
      </c>
      <c r="J97" s="164">
        <v>13794.290999999999</v>
      </c>
      <c r="K97" s="56">
        <f t="shared" si="20"/>
        <v>0.10837975379741283</v>
      </c>
      <c r="L97" s="136">
        <v>7</v>
      </c>
      <c r="M97" s="137">
        <v>36772</v>
      </c>
      <c r="N97" s="137">
        <v>18858</v>
      </c>
      <c r="O97" s="171">
        <v>13957.125</v>
      </c>
      <c r="P97" s="139">
        <f t="shared" si="21"/>
        <v>0.11704283465227498</v>
      </c>
      <c r="Q97" s="136">
        <v>9</v>
      </c>
      <c r="R97" s="137">
        <v>75378</v>
      </c>
      <c r="S97" s="137">
        <v>33855</v>
      </c>
      <c r="T97" s="171">
        <v>26939.494999999999</v>
      </c>
      <c r="U97" s="139">
        <f t="shared" si="22"/>
        <v>0.21499804518899898</v>
      </c>
      <c r="V97" s="136">
        <v>18</v>
      </c>
      <c r="W97" s="137">
        <v>84286</v>
      </c>
      <c r="X97" s="137">
        <v>38023</v>
      </c>
      <c r="Y97" s="171">
        <v>28824.025000000001</v>
      </c>
      <c r="Z97" s="139">
        <f t="shared" si="23"/>
        <v>0.22379563227921856</v>
      </c>
    </row>
    <row r="98" spans="1:26" ht="12.75" customHeight="1" x14ac:dyDescent="0.2">
      <c r="A98" s="114" t="str">
        <f>$A$18</f>
        <v>4.00% oder höher</v>
      </c>
      <c r="B98" s="36">
        <v>0</v>
      </c>
      <c r="C98" s="10">
        <v>0</v>
      </c>
      <c r="D98" s="10">
        <v>0</v>
      </c>
      <c r="E98" s="154">
        <v>0</v>
      </c>
      <c r="F98" s="37">
        <f t="shared" si="19"/>
        <v>0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20"/>
        <v>0</v>
      </c>
      <c r="L98" s="136">
        <v>2</v>
      </c>
      <c r="M98" s="137">
        <v>22504</v>
      </c>
      <c r="N98" s="137">
        <v>15464</v>
      </c>
      <c r="O98" s="171">
        <v>11030.905000000001</v>
      </c>
      <c r="P98" s="139">
        <f t="shared" si="21"/>
        <v>9.2503892454925601E-2</v>
      </c>
      <c r="Q98" s="136">
        <v>4</v>
      </c>
      <c r="R98" s="137">
        <v>49205</v>
      </c>
      <c r="S98" s="137">
        <v>25693</v>
      </c>
      <c r="T98" s="171">
        <v>18555.161</v>
      </c>
      <c r="U98" s="139">
        <f t="shared" si="22"/>
        <v>0.14808456294994216</v>
      </c>
      <c r="V98" s="136">
        <v>9</v>
      </c>
      <c r="W98" s="137">
        <v>76811</v>
      </c>
      <c r="X98" s="137">
        <v>34864</v>
      </c>
      <c r="Y98" s="171">
        <v>26882.618000000002</v>
      </c>
      <c r="Z98" s="139">
        <f t="shared" si="23"/>
        <v>0.20872215079714587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0.99999999999999989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125301.11599999998</v>
      </c>
      <c r="U116" s="143">
        <f t="shared" ref="U116:Z116" si="27">SUM(U$92:U$115)</f>
        <v>1.0000000000000002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128796.19100000001</v>
      </c>
      <c r="Z116" s="143">
        <f t="shared" si="27"/>
        <v>0.99999999999999989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6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Translation!$A$190</f>
        <v>Deckungsgrad mit individuellen Grundlagen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ht="12.75" customHeight="1" x14ac:dyDescent="0.2">
      <c r="A12" s="114" t="str">
        <f>Translation!$A192</f>
        <v>unter 60.0%</v>
      </c>
      <c r="B12" s="30">
        <v>2</v>
      </c>
      <c r="C12" s="6">
        <v>0</v>
      </c>
      <c r="D12" s="6">
        <v>101</v>
      </c>
      <c r="E12" s="150">
        <v>38.981000000000002</v>
      </c>
      <c r="F12" s="31">
        <f t="shared" ref="F12:F13" si="0">E12/E$36</f>
        <v>4.3154574581465368E-5</v>
      </c>
      <c r="G12" s="41">
        <v>7</v>
      </c>
      <c r="H12" s="42">
        <v>47390</v>
      </c>
      <c r="I12" s="42">
        <v>23456</v>
      </c>
      <c r="J12" s="160">
        <v>20700.302</v>
      </c>
      <c r="K12" s="44">
        <f t="shared" ref="K12:K19" si="1">J12/J$36</f>
        <v>2.4068295599177867E-2</v>
      </c>
      <c r="L12" s="76">
        <v>14</v>
      </c>
      <c r="M12" s="122">
        <v>65333</v>
      </c>
      <c r="N12" s="122">
        <v>31695</v>
      </c>
      <c r="O12" s="167">
        <v>24654.771999999997</v>
      </c>
      <c r="P12" s="124">
        <f t="shared" ref="P12:P14" si="2">O12/O$36</f>
        <v>2.9948827639476292E-2</v>
      </c>
      <c r="Q12" s="76">
        <v>25</v>
      </c>
      <c r="R12" s="122">
        <v>18912</v>
      </c>
      <c r="S12" s="122">
        <v>8597</v>
      </c>
      <c r="T12" s="167">
        <v>5851.21</v>
      </c>
      <c r="U12" s="124">
        <f t="shared" ref="U12:U14" si="3">T12/T$36</f>
        <v>7.2773436482422259E-3</v>
      </c>
      <c r="V12" s="76">
        <v>11</v>
      </c>
      <c r="W12" s="122">
        <v>46972</v>
      </c>
      <c r="X12" s="122">
        <v>25073</v>
      </c>
      <c r="Y12" s="167">
        <v>19242.087</v>
      </c>
      <c r="Z12" s="124">
        <f t="shared" ref="Z12:Z14" si="4">Y12/Y$36</f>
        <v>2.5812545705736815E-2</v>
      </c>
    </row>
    <row r="13" spans="1:26" ht="12.75" customHeight="1" x14ac:dyDescent="0.2">
      <c r="A13" s="114" t="str">
        <f>Translation!$A193</f>
        <v>60.0% – 69.9%</v>
      </c>
      <c r="B13" s="30">
        <v>6</v>
      </c>
      <c r="C13" s="6">
        <v>91992</v>
      </c>
      <c r="D13" s="6">
        <v>47678</v>
      </c>
      <c r="E13" s="150">
        <v>38654.646000000001</v>
      </c>
      <c r="F13" s="31">
        <f t="shared" si="0"/>
        <v>4.2793278872454321E-2</v>
      </c>
      <c r="G13" s="41">
        <v>7</v>
      </c>
      <c r="H13" s="42">
        <v>50800</v>
      </c>
      <c r="I13" s="42">
        <v>25365</v>
      </c>
      <c r="J13" s="160">
        <v>18786.946</v>
      </c>
      <c r="K13" s="44">
        <f t="shared" si="1"/>
        <v>2.1843631543819613E-2</v>
      </c>
      <c r="L13" s="76">
        <v>5</v>
      </c>
      <c r="M13" s="122">
        <v>24718</v>
      </c>
      <c r="N13" s="122">
        <v>13400</v>
      </c>
      <c r="O13" s="167">
        <v>10462.352999999999</v>
      </c>
      <c r="P13" s="124">
        <f t="shared" si="2"/>
        <v>1.2708907091104218E-2</v>
      </c>
      <c r="Q13" s="76">
        <v>7</v>
      </c>
      <c r="R13" s="122">
        <v>75915</v>
      </c>
      <c r="S13" s="122">
        <v>38364</v>
      </c>
      <c r="T13" s="167">
        <v>29801.304</v>
      </c>
      <c r="U13" s="124">
        <f t="shared" si="3"/>
        <v>3.706486869788226E-2</v>
      </c>
      <c r="V13" s="76">
        <v>8</v>
      </c>
      <c r="W13" s="122">
        <v>57948</v>
      </c>
      <c r="X13" s="122">
        <v>27717</v>
      </c>
      <c r="Y13" s="167">
        <v>19592.038</v>
      </c>
      <c r="Z13" s="124">
        <f t="shared" si="4"/>
        <v>2.6281991986811647E-2</v>
      </c>
    </row>
    <row r="14" spans="1:26" x14ac:dyDescent="0.2">
      <c r="A14" s="114" t="str">
        <f>Translation!$A194</f>
        <v>70.0% – 79.9%</v>
      </c>
      <c r="B14" s="30">
        <v>9</v>
      </c>
      <c r="C14" s="6">
        <v>77528</v>
      </c>
      <c r="D14" s="6">
        <v>33811</v>
      </c>
      <c r="E14" s="150">
        <v>29555.43</v>
      </c>
      <c r="F14" s="31">
        <f t="shared" ref="F14:F19" si="5">E14/E$36</f>
        <v>3.2719838080661832E-2</v>
      </c>
      <c r="G14" s="41">
        <v>10</v>
      </c>
      <c r="H14" s="42">
        <v>80617</v>
      </c>
      <c r="I14" s="42">
        <v>35507</v>
      </c>
      <c r="J14" s="160">
        <v>30584.749</v>
      </c>
      <c r="K14" s="44">
        <f t="shared" si="1"/>
        <v>3.5560968132670706E-2</v>
      </c>
      <c r="L14" s="76">
        <v>9</v>
      </c>
      <c r="M14" s="122">
        <v>78667</v>
      </c>
      <c r="N14" s="122">
        <v>34102</v>
      </c>
      <c r="O14" s="167">
        <v>29417.125</v>
      </c>
      <c r="P14" s="124">
        <f t="shared" si="2"/>
        <v>3.5733788423349816E-2</v>
      </c>
      <c r="Q14" s="76">
        <v>10</v>
      </c>
      <c r="R14" s="122">
        <v>77981</v>
      </c>
      <c r="S14" s="122">
        <v>33073</v>
      </c>
      <c r="T14" s="167">
        <v>27704.535</v>
      </c>
      <c r="U14" s="124">
        <f t="shared" si="3"/>
        <v>3.4457047655058429E-2</v>
      </c>
      <c r="V14" s="76">
        <v>11</v>
      </c>
      <c r="W14" s="122">
        <v>65542</v>
      </c>
      <c r="X14" s="122">
        <v>27204</v>
      </c>
      <c r="Y14" s="167">
        <v>22823.95</v>
      </c>
      <c r="Z14" s="124">
        <f t="shared" si="4"/>
        <v>3.061748201016095E-2</v>
      </c>
    </row>
    <row r="15" spans="1:26" x14ac:dyDescent="0.2">
      <c r="A15" s="114" t="str">
        <f>Translation!$A195</f>
        <v>80.0% – 89.9%</v>
      </c>
      <c r="B15" s="30">
        <v>5</v>
      </c>
      <c r="C15" s="6">
        <v>11563</v>
      </c>
      <c r="D15" s="6">
        <v>6149</v>
      </c>
      <c r="E15" s="150">
        <v>5284.6559999999999</v>
      </c>
      <c r="F15" s="31">
        <f t="shared" si="5"/>
        <v>5.8504677019416747E-3</v>
      </c>
      <c r="G15" s="41">
        <v>12</v>
      </c>
      <c r="H15" s="42">
        <v>2895</v>
      </c>
      <c r="I15" s="42">
        <v>1679</v>
      </c>
      <c r="J15" s="160">
        <v>860.77</v>
      </c>
      <c r="K15" s="44">
        <f t="shared" si="1"/>
        <v>1.0008195437392329E-3</v>
      </c>
      <c r="L15" s="76">
        <v>17</v>
      </c>
      <c r="M15" s="122">
        <v>37224</v>
      </c>
      <c r="N15" s="122">
        <v>13758</v>
      </c>
      <c r="O15" s="167">
        <v>11686.023999999999</v>
      </c>
      <c r="P15" s="124">
        <f t="shared" ref="P15:P19" si="6">O15/O$36</f>
        <v>1.4195333810703393E-2</v>
      </c>
      <c r="Q15" s="76">
        <v>16</v>
      </c>
      <c r="R15" s="122">
        <v>95013</v>
      </c>
      <c r="S15" s="122">
        <v>37179</v>
      </c>
      <c r="T15" s="167">
        <v>34900.187000000005</v>
      </c>
      <c r="U15" s="124">
        <f t="shared" ref="U15:U19" si="7">T15/T$36</f>
        <v>4.340651834183288E-2</v>
      </c>
      <c r="V15" s="76">
        <v>29</v>
      </c>
      <c r="W15" s="122">
        <v>146504</v>
      </c>
      <c r="X15" s="122">
        <v>59463</v>
      </c>
      <c r="Y15" s="167">
        <v>50801.752999999997</v>
      </c>
      <c r="Z15" s="124">
        <f t="shared" ref="Z15:Z19" si="8">Y15/Y$36</f>
        <v>6.8148666578841083E-2</v>
      </c>
    </row>
    <row r="16" spans="1:26" x14ac:dyDescent="0.2">
      <c r="A16" s="114" t="str">
        <f>Translation!$A196</f>
        <v>90.0% – 99.9%</v>
      </c>
      <c r="B16" s="30">
        <v>34</v>
      </c>
      <c r="C16" s="6">
        <v>126857</v>
      </c>
      <c r="D16" s="6">
        <v>57030</v>
      </c>
      <c r="E16" s="150">
        <v>47714.659</v>
      </c>
      <c r="F16" s="31">
        <f t="shared" si="5"/>
        <v>5.2823319320814952E-2</v>
      </c>
      <c r="G16" s="41">
        <v>72</v>
      </c>
      <c r="H16" s="42">
        <v>383284</v>
      </c>
      <c r="I16" s="42">
        <v>174591</v>
      </c>
      <c r="J16" s="160">
        <v>137454.59100000001</v>
      </c>
      <c r="K16" s="44">
        <f t="shared" si="1"/>
        <v>0.15981881460725036</v>
      </c>
      <c r="L16" s="76">
        <v>74</v>
      </c>
      <c r="M16" s="122">
        <v>404304</v>
      </c>
      <c r="N16" s="122">
        <v>152603</v>
      </c>
      <c r="O16" s="167">
        <v>114835.076</v>
      </c>
      <c r="P16" s="124">
        <f t="shared" si="6"/>
        <v>0.13949331586153629</v>
      </c>
      <c r="Q16" s="76">
        <v>55</v>
      </c>
      <c r="R16" s="122">
        <v>200772</v>
      </c>
      <c r="S16" s="122">
        <v>93697</v>
      </c>
      <c r="T16" s="167">
        <v>65813.014999999999</v>
      </c>
      <c r="U16" s="124">
        <f t="shared" si="7"/>
        <v>8.1853826248232481E-2</v>
      </c>
      <c r="V16" s="76">
        <v>107</v>
      </c>
      <c r="W16" s="122">
        <v>316832</v>
      </c>
      <c r="X16" s="122">
        <v>111375</v>
      </c>
      <c r="Y16" s="167">
        <v>78559.612999999998</v>
      </c>
      <c r="Z16" s="124">
        <f t="shared" si="8"/>
        <v>0.10538480577431628</v>
      </c>
    </row>
    <row r="17" spans="1:26" x14ac:dyDescent="0.2">
      <c r="A17" s="114" t="str">
        <f>Translation!$A197</f>
        <v>100.0% – 109.9%</v>
      </c>
      <c r="B17" s="30">
        <v>461</v>
      </c>
      <c r="C17" s="6">
        <v>2126835</v>
      </c>
      <c r="D17" s="6">
        <v>341000</v>
      </c>
      <c r="E17" s="150">
        <v>396079.53399999999</v>
      </c>
      <c r="F17" s="31">
        <f t="shared" si="5"/>
        <v>0.4384865393446819</v>
      </c>
      <c r="G17" s="41">
        <v>627</v>
      </c>
      <c r="H17" s="42">
        <v>2342284</v>
      </c>
      <c r="I17" s="42">
        <v>339382</v>
      </c>
      <c r="J17" s="160">
        <v>408854.16499999998</v>
      </c>
      <c r="K17" s="44">
        <f t="shared" si="1"/>
        <v>0.47537581336615481</v>
      </c>
      <c r="L17" s="76">
        <v>594</v>
      </c>
      <c r="M17" s="122">
        <v>2252000</v>
      </c>
      <c r="N17" s="122">
        <v>353887</v>
      </c>
      <c r="O17" s="167">
        <v>405936.701</v>
      </c>
      <c r="P17" s="124">
        <f t="shared" si="6"/>
        <v>0.49310244243129181</v>
      </c>
      <c r="Q17" s="76">
        <v>527</v>
      </c>
      <c r="R17" s="122">
        <v>1985691</v>
      </c>
      <c r="S17" s="122">
        <v>278314</v>
      </c>
      <c r="T17" s="167">
        <v>312622.69800000003</v>
      </c>
      <c r="U17" s="124">
        <f t="shared" si="7"/>
        <v>0.38881920245327856</v>
      </c>
      <c r="V17" s="76">
        <v>734</v>
      </c>
      <c r="W17" s="122">
        <v>2203113</v>
      </c>
      <c r="X17" s="122">
        <v>429886</v>
      </c>
      <c r="Y17" s="167">
        <v>335834.35100000002</v>
      </c>
      <c r="Z17" s="124">
        <f t="shared" si="8"/>
        <v>0.45050932025948964</v>
      </c>
    </row>
    <row r="18" spans="1:26" x14ac:dyDescent="0.2">
      <c r="A18" s="114" t="str">
        <f>Translation!$A198</f>
        <v>110.0% – 119.9%</v>
      </c>
      <c r="B18" s="30">
        <v>568</v>
      </c>
      <c r="C18" s="6">
        <v>1259495</v>
      </c>
      <c r="D18" s="6">
        <v>331706</v>
      </c>
      <c r="E18" s="150">
        <v>300881.30299999996</v>
      </c>
      <c r="F18" s="31">
        <f t="shared" si="5"/>
        <v>0.33309572947030547</v>
      </c>
      <c r="G18" s="41">
        <v>520</v>
      </c>
      <c r="H18" s="42">
        <v>984649</v>
      </c>
      <c r="I18" s="42">
        <v>236370</v>
      </c>
      <c r="J18" s="160">
        <v>196413.14600000001</v>
      </c>
      <c r="K18" s="44">
        <f t="shared" si="1"/>
        <v>0.22837008162936367</v>
      </c>
      <c r="L18" s="76">
        <v>573</v>
      </c>
      <c r="M18" s="122">
        <v>934939</v>
      </c>
      <c r="N18" s="122">
        <v>194415</v>
      </c>
      <c r="O18" s="167">
        <v>159676.777</v>
      </c>
      <c r="P18" s="124">
        <f t="shared" si="6"/>
        <v>0.19396375972976318</v>
      </c>
      <c r="Q18" s="76">
        <v>640</v>
      </c>
      <c r="R18" s="122">
        <v>1215530</v>
      </c>
      <c r="S18" s="122">
        <v>274420</v>
      </c>
      <c r="T18" s="167">
        <v>236109.45800000001</v>
      </c>
      <c r="U18" s="124">
        <f t="shared" si="7"/>
        <v>0.29365715201919174</v>
      </c>
      <c r="V18" s="76">
        <v>580</v>
      </c>
      <c r="W18" s="122">
        <v>956078</v>
      </c>
      <c r="X18" s="122">
        <v>209158</v>
      </c>
      <c r="Y18" s="167">
        <v>179720.78700000001</v>
      </c>
      <c r="Z18" s="124">
        <f t="shared" si="8"/>
        <v>0.24108876696735088</v>
      </c>
    </row>
    <row r="19" spans="1:26" ht="12.75" customHeight="1" x14ac:dyDescent="0.2">
      <c r="A19" s="110" t="str">
        <f>Translation!$A199</f>
        <v>120.0% oder höher</v>
      </c>
      <c r="B19" s="30">
        <v>569</v>
      </c>
      <c r="C19" s="6">
        <v>481642</v>
      </c>
      <c r="D19" s="6">
        <v>100016</v>
      </c>
      <c r="E19" s="150">
        <v>85078.573999999993</v>
      </c>
      <c r="F19" s="31">
        <f t="shared" si="5"/>
        <v>9.4187672634558364E-2</v>
      </c>
      <c r="G19" s="41">
        <v>427</v>
      </c>
      <c r="H19" s="42">
        <v>158175</v>
      </c>
      <c r="I19" s="42">
        <v>52475</v>
      </c>
      <c r="J19" s="160">
        <v>46410.47</v>
      </c>
      <c r="K19" s="44">
        <f t="shared" si="1"/>
        <v>5.3961575577823766E-2</v>
      </c>
      <c r="L19" s="76">
        <v>457</v>
      </c>
      <c r="M19" s="122">
        <v>240970</v>
      </c>
      <c r="N19" s="122">
        <v>84741</v>
      </c>
      <c r="O19" s="167">
        <v>66561.126000000004</v>
      </c>
      <c r="P19" s="124">
        <f t="shared" si="6"/>
        <v>8.0853625012774988E-2</v>
      </c>
      <c r="Q19" s="76">
        <v>565</v>
      </c>
      <c r="R19" s="122">
        <v>334223</v>
      </c>
      <c r="S19" s="122">
        <v>105174</v>
      </c>
      <c r="T19" s="167">
        <v>91228.607999999993</v>
      </c>
      <c r="U19" s="124">
        <f t="shared" si="7"/>
        <v>0.11346404093628153</v>
      </c>
      <c r="V19" s="76">
        <v>425</v>
      </c>
      <c r="W19" s="122">
        <v>139759</v>
      </c>
      <c r="X19" s="122">
        <v>53456</v>
      </c>
      <c r="Y19" s="167">
        <v>38880.256000000001</v>
      </c>
      <c r="Z19" s="124">
        <f t="shared" si="8"/>
        <v>5.2156420717292679E-2</v>
      </c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Z36" si="9">SUM(B$12:B$35)</f>
        <v>1654</v>
      </c>
      <c r="C36" s="7">
        <f t="shared" si="9"/>
        <v>4175912</v>
      </c>
      <c r="D36" s="7">
        <f t="shared" si="9"/>
        <v>917491</v>
      </c>
      <c r="E36" s="151">
        <f t="shared" si="9"/>
        <v>903287.78299999994</v>
      </c>
      <c r="F36" s="64">
        <f t="shared" si="9"/>
        <v>0.99999999999999989</v>
      </c>
      <c r="G36" s="45">
        <f t="shared" si="9"/>
        <v>1682</v>
      </c>
      <c r="H36" s="65">
        <f t="shared" si="9"/>
        <v>4050094</v>
      </c>
      <c r="I36" s="65">
        <f t="shared" si="9"/>
        <v>888825</v>
      </c>
      <c r="J36" s="161">
        <f t="shared" si="9"/>
        <v>860065.13899999997</v>
      </c>
      <c r="K36" s="66">
        <f t="shared" si="9"/>
        <v>1</v>
      </c>
      <c r="L36" s="77">
        <f t="shared" si="9"/>
        <v>1743</v>
      </c>
      <c r="M36" s="125">
        <f t="shared" si="9"/>
        <v>4038155</v>
      </c>
      <c r="N36" s="125">
        <f t="shared" si="9"/>
        <v>878601</v>
      </c>
      <c r="O36" s="168">
        <f t="shared" si="9"/>
        <v>823229.95400000003</v>
      </c>
      <c r="P36" s="127">
        <f t="shared" si="9"/>
        <v>1</v>
      </c>
      <c r="Q36" s="77">
        <f t="shared" si="9"/>
        <v>1845</v>
      </c>
      <c r="R36" s="125">
        <f t="shared" si="9"/>
        <v>4004037</v>
      </c>
      <c r="S36" s="125">
        <f t="shared" si="9"/>
        <v>868818</v>
      </c>
      <c r="T36" s="168">
        <f t="shared" si="9"/>
        <v>804031.01500000001</v>
      </c>
      <c r="U36" s="127">
        <f t="shared" si="9"/>
        <v>1</v>
      </c>
      <c r="V36" s="77">
        <f t="shared" si="9"/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745454.83500000008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ht="12.75" customHeight="1" x14ac:dyDescent="0.2">
      <c r="A52" s="114" t="str">
        <f>$A$12</f>
        <v>unter 60.0%</v>
      </c>
      <c r="B52" s="33">
        <v>2</v>
      </c>
      <c r="C52" s="8">
        <v>0</v>
      </c>
      <c r="D52" s="8">
        <v>101</v>
      </c>
      <c r="E52" s="152">
        <v>38.981000000000002</v>
      </c>
      <c r="F52" s="34">
        <f t="shared" ref="F52:F53" si="10">E52/E$76</f>
        <v>5.0672210728135197E-5</v>
      </c>
      <c r="G52" s="47">
        <v>6</v>
      </c>
      <c r="H52" s="48">
        <v>50</v>
      </c>
      <c r="I52" s="48">
        <v>114</v>
      </c>
      <c r="J52" s="162">
        <v>38.393999999999998</v>
      </c>
      <c r="K52" s="50">
        <f t="shared" ref="K52:K59" si="11">J52/J$76</f>
        <v>5.2394434099172177E-5</v>
      </c>
      <c r="L52" s="128">
        <v>12</v>
      </c>
      <c r="M52" s="129">
        <v>203</v>
      </c>
      <c r="N52" s="129">
        <v>257</v>
      </c>
      <c r="O52" s="169">
        <v>95.852000000000004</v>
      </c>
      <c r="P52" s="131">
        <f t="shared" ref="P52:P59" si="12">O52/O$76</f>
        <v>1.3615690101256788E-4</v>
      </c>
      <c r="Q52" s="128">
        <v>22</v>
      </c>
      <c r="R52" s="129">
        <v>349</v>
      </c>
      <c r="S52" s="129">
        <v>317</v>
      </c>
      <c r="T52" s="169">
        <v>177.70099999999999</v>
      </c>
      <c r="U52" s="131">
        <f t="shared" ref="U52:U59" si="13">T52/T$76</f>
        <v>2.6181401506227144E-4</v>
      </c>
      <c r="V52" s="128">
        <v>7</v>
      </c>
      <c r="W52" s="129">
        <v>21</v>
      </c>
      <c r="X52" s="129">
        <v>284</v>
      </c>
      <c r="Y52" s="169">
        <v>88.512</v>
      </c>
      <c r="Z52" s="131">
        <f t="shared" ref="Z52:Z59" si="14">Y52/Y$76</f>
        <v>1.4353484032245234E-4</v>
      </c>
    </row>
    <row r="53" spans="1:26" ht="12.75" customHeight="1" x14ac:dyDescent="0.2">
      <c r="A53" s="114" t="str">
        <f>$A$13</f>
        <v>60.0% – 69.9%</v>
      </c>
      <c r="B53" s="33">
        <v>0</v>
      </c>
      <c r="C53" s="8">
        <v>0</v>
      </c>
      <c r="D53" s="8">
        <v>0</v>
      </c>
      <c r="E53" s="152">
        <v>0</v>
      </c>
      <c r="F53" s="34">
        <f t="shared" si="10"/>
        <v>0</v>
      </c>
      <c r="G53" s="47">
        <v>1</v>
      </c>
      <c r="H53" s="48">
        <v>41</v>
      </c>
      <c r="I53" s="48">
        <v>8</v>
      </c>
      <c r="J53" s="162">
        <v>30.146000000000001</v>
      </c>
      <c r="K53" s="50">
        <f t="shared" si="11"/>
        <v>4.1138787580185562E-5</v>
      </c>
      <c r="L53" s="128">
        <v>1</v>
      </c>
      <c r="M53" s="129">
        <v>42</v>
      </c>
      <c r="N53" s="129">
        <v>7</v>
      </c>
      <c r="O53" s="169">
        <v>28.826000000000001</v>
      </c>
      <c r="P53" s="131">
        <f t="shared" si="12"/>
        <v>4.0947072868466814E-5</v>
      </c>
      <c r="Q53" s="128">
        <v>2</v>
      </c>
      <c r="R53" s="129">
        <v>0</v>
      </c>
      <c r="S53" s="129">
        <v>10</v>
      </c>
      <c r="T53" s="169">
        <v>0.75700000000000001</v>
      </c>
      <c r="U53" s="131">
        <f t="shared" si="13"/>
        <v>1.1153184810560407E-6</v>
      </c>
      <c r="V53" s="128">
        <v>1</v>
      </c>
      <c r="W53" s="129">
        <v>6</v>
      </c>
      <c r="X53" s="129">
        <v>1</v>
      </c>
      <c r="Y53" s="169">
        <v>1.6930000000000001</v>
      </c>
      <c r="Z53" s="131">
        <f t="shared" si="14"/>
        <v>2.7454411228524022E-6</v>
      </c>
    </row>
    <row r="54" spans="1:26" x14ac:dyDescent="0.2">
      <c r="A54" s="114" t="str">
        <f>$A$14</f>
        <v>70.0% – 79.9%</v>
      </c>
      <c r="B54" s="33">
        <v>3</v>
      </c>
      <c r="C54" s="8">
        <v>209</v>
      </c>
      <c r="D54" s="8">
        <v>135</v>
      </c>
      <c r="E54" s="152">
        <v>91.63</v>
      </c>
      <c r="F54" s="34">
        <f t="shared" ref="F54:F59" si="15">E54/E$76</f>
        <v>1.1911173825758773E-4</v>
      </c>
      <c r="G54" s="47">
        <v>4</v>
      </c>
      <c r="H54" s="48">
        <v>548</v>
      </c>
      <c r="I54" s="48">
        <v>416</v>
      </c>
      <c r="J54" s="162">
        <v>251.256</v>
      </c>
      <c r="K54" s="50">
        <f t="shared" si="11"/>
        <v>3.4287690613172905E-4</v>
      </c>
      <c r="L54" s="128">
        <v>3</v>
      </c>
      <c r="M54" s="129">
        <v>654</v>
      </c>
      <c r="N54" s="129">
        <v>437</v>
      </c>
      <c r="O54" s="169">
        <v>209.8</v>
      </c>
      <c r="P54" s="131">
        <f t="shared" si="12"/>
        <v>2.9801900672324773E-4</v>
      </c>
      <c r="Q54" s="128">
        <v>4</v>
      </c>
      <c r="R54" s="129">
        <v>11533</v>
      </c>
      <c r="S54" s="129">
        <v>5196</v>
      </c>
      <c r="T54" s="169">
        <v>4177.0910000000003</v>
      </c>
      <c r="U54" s="131">
        <f t="shared" si="13"/>
        <v>6.1542758115625609E-3</v>
      </c>
      <c r="V54" s="128">
        <v>6</v>
      </c>
      <c r="W54" s="129">
        <v>2079</v>
      </c>
      <c r="X54" s="129">
        <v>1003</v>
      </c>
      <c r="Y54" s="169">
        <v>454.89299999999997</v>
      </c>
      <c r="Z54" s="131">
        <f t="shared" si="14"/>
        <v>7.3767392126266847E-4</v>
      </c>
    </row>
    <row r="55" spans="1:26" x14ac:dyDescent="0.2">
      <c r="A55" s="114" t="str">
        <f>$A$15</f>
        <v>80.0% – 89.9%</v>
      </c>
      <c r="B55" s="33">
        <v>4</v>
      </c>
      <c r="C55" s="8">
        <v>59</v>
      </c>
      <c r="D55" s="8">
        <v>323</v>
      </c>
      <c r="E55" s="152">
        <v>96.656000000000006</v>
      </c>
      <c r="F55" s="34">
        <f t="shared" si="15"/>
        <v>1.2564513994352725E-4</v>
      </c>
      <c r="G55" s="47">
        <v>10</v>
      </c>
      <c r="H55" s="48">
        <v>2036</v>
      </c>
      <c r="I55" s="48">
        <v>1246</v>
      </c>
      <c r="J55" s="162">
        <v>623.54600000000005</v>
      </c>
      <c r="K55" s="50">
        <f t="shared" si="11"/>
        <v>8.5092305581086674E-4</v>
      </c>
      <c r="L55" s="128">
        <v>15</v>
      </c>
      <c r="M55" s="129">
        <v>36375</v>
      </c>
      <c r="N55" s="129">
        <v>13334</v>
      </c>
      <c r="O55" s="169">
        <v>11454.578</v>
      </c>
      <c r="P55" s="131">
        <f t="shared" si="12"/>
        <v>1.6271124680619472E-2</v>
      </c>
      <c r="Q55" s="128">
        <v>12</v>
      </c>
      <c r="R55" s="129">
        <v>32514</v>
      </c>
      <c r="S55" s="129">
        <v>11165</v>
      </c>
      <c r="T55" s="169">
        <v>9898.18</v>
      </c>
      <c r="U55" s="131">
        <f t="shared" si="13"/>
        <v>1.4583385842561797E-2</v>
      </c>
      <c r="V55" s="128">
        <v>18</v>
      </c>
      <c r="W55" s="129">
        <v>40696</v>
      </c>
      <c r="X55" s="129">
        <v>15515</v>
      </c>
      <c r="Y55" s="169">
        <v>12333.653</v>
      </c>
      <c r="Z55" s="131">
        <f t="shared" si="14"/>
        <v>2.0000778583102126E-2</v>
      </c>
    </row>
    <row r="56" spans="1:26" x14ac:dyDescent="0.2">
      <c r="A56" s="114" t="str">
        <f>$A$16</f>
        <v>90.0% – 99.9%</v>
      </c>
      <c r="B56" s="33">
        <v>21</v>
      </c>
      <c r="C56" s="8">
        <v>28726</v>
      </c>
      <c r="D56" s="8">
        <v>12751</v>
      </c>
      <c r="E56" s="152">
        <v>7693.4409999999998</v>
      </c>
      <c r="F56" s="34">
        <f t="shared" si="15"/>
        <v>1.0000863589350584E-2</v>
      </c>
      <c r="G56" s="47">
        <v>55</v>
      </c>
      <c r="H56" s="48">
        <v>255941</v>
      </c>
      <c r="I56" s="48">
        <v>114896</v>
      </c>
      <c r="J56" s="162">
        <v>85565.46</v>
      </c>
      <c r="K56" s="50">
        <f t="shared" si="11"/>
        <v>0.11676704316131045</v>
      </c>
      <c r="L56" s="128">
        <v>59</v>
      </c>
      <c r="M56" s="129">
        <v>303024</v>
      </c>
      <c r="N56" s="129">
        <v>109530</v>
      </c>
      <c r="O56" s="169">
        <v>76551.395000000004</v>
      </c>
      <c r="P56" s="131">
        <f t="shared" si="12"/>
        <v>0.10874056578254999</v>
      </c>
      <c r="Q56" s="128">
        <v>45</v>
      </c>
      <c r="R56" s="129">
        <v>182314</v>
      </c>
      <c r="S56" s="129">
        <v>82419</v>
      </c>
      <c r="T56" s="169">
        <v>57839.035000000003</v>
      </c>
      <c r="U56" s="131">
        <f t="shared" si="13"/>
        <v>8.5216571548146866E-2</v>
      </c>
      <c r="V56" s="128">
        <v>92</v>
      </c>
      <c r="W56" s="129">
        <v>281935</v>
      </c>
      <c r="X56" s="129">
        <v>99603</v>
      </c>
      <c r="Y56" s="169">
        <v>68339.502999999997</v>
      </c>
      <c r="Z56" s="131">
        <f t="shared" si="14"/>
        <v>0.11082225744329303</v>
      </c>
    </row>
    <row r="57" spans="1:26" x14ac:dyDescent="0.2">
      <c r="A57" s="114" t="str">
        <f>$A$17</f>
        <v>100.0% – 109.9%</v>
      </c>
      <c r="B57" s="33">
        <v>452</v>
      </c>
      <c r="C57" s="8">
        <v>2084338</v>
      </c>
      <c r="D57" s="8">
        <v>318958</v>
      </c>
      <c r="E57" s="152">
        <v>377077.01199999999</v>
      </c>
      <c r="F57" s="34">
        <f t="shared" si="15"/>
        <v>0.49017023197967119</v>
      </c>
      <c r="G57" s="47">
        <v>620</v>
      </c>
      <c r="H57" s="48">
        <v>2326614</v>
      </c>
      <c r="I57" s="48">
        <v>333202</v>
      </c>
      <c r="J57" s="162">
        <v>403455.342</v>
      </c>
      <c r="K57" s="50">
        <f t="shared" si="11"/>
        <v>0.55057598396567109</v>
      </c>
      <c r="L57" s="128">
        <v>585</v>
      </c>
      <c r="M57" s="129">
        <v>2213605</v>
      </c>
      <c r="N57" s="129">
        <v>332046</v>
      </c>
      <c r="O57" s="169">
        <v>389403.59100000001</v>
      </c>
      <c r="P57" s="131">
        <f t="shared" si="12"/>
        <v>0.55314428696037077</v>
      </c>
      <c r="Q57" s="128">
        <v>514</v>
      </c>
      <c r="R57" s="129">
        <v>1915674</v>
      </c>
      <c r="S57" s="129">
        <v>246860</v>
      </c>
      <c r="T57" s="169">
        <v>287192.13900000002</v>
      </c>
      <c r="U57" s="131">
        <f t="shared" si="13"/>
        <v>0.42313170441309816</v>
      </c>
      <c r="V57" s="128">
        <v>719</v>
      </c>
      <c r="W57" s="129">
        <v>2154491</v>
      </c>
      <c r="X57" s="129">
        <v>404807</v>
      </c>
      <c r="Y57" s="169">
        <v>316964.03700000001</v>
      </c>
      <c r="Z57" s="131">
        <f t="shared" si="14"/>
        <v>0.51400242270827545</v>
      </c>
    </row>
    <row r="58" spans="1:26" x14ac:dyDescent="0.2">
      <c r="A58" s="114" t="str">
        <f>$A$18</f>
        <v>110.0% – 119.9%</v>
      </c>
      <c r="B58" s="33">
        <v>565</v>
      </c>
      <c r="C58" s="8">
        <v>1255215</v>
      </c>
      <c r="D58" s="8">
        <v>329023</v>
      </c>
      <c r="E58" s="152">
        <v>299201.37199999997</v>
      </c>
      <c r="F58" s="34">
        <f t="shared" si="15"/>
        <v>0.3889380716793096</v>
      </c>
      <c r="G58" s="47">
        <v>520</v>
      </c>
      <c r="H58" s="48">
        <v>984649</v>
      </c>
      <c r="I58" s="48">
        <v>236370</v>
      </c>
      <c r="J58" s="162">
        <v>196413.14600000001</v>
      </c>
      <c r="K58" s="50">
        <f t="shared" si="11"/>
        <v>0.26803551685961569</v>
      </c>
      <c r="L58" s="128">
        <v>573</v>
      </c>
      <c r="M58" s="129">
        <v>934939</v>
      </c>
      <c r="N58" s="129">
        <v>194415</v>
      </c>
      <c r="O58" s="169">
        <v>159676.777</v>
      </c>
      <c r="P58" s="131">
        <f t="shared" si="12"/>
        <v>0.22681942077363929</v>
      </c>
      <c r="Q58" s="128">
        <v>638</v>
      </c>
      <c r="R58" s="129">
        <v>1188050</v>
      </c>
      <c r="S58" s="129">
        <v>263765</v>
      </c>
      <c r="T58" s="169">
        <v>228216.38800000001</v>
      </c>
      <c r="U58" s="131">
        <f t="shared" si="13"/>
        <v>0.3362403635617649</v>
      </c>
      <c r="V58" s="128">
        <v>579</v>
      </c>
      <c r="W58" s="129">
        <v>955645</v>
      </c>
      <c r="X58" s="129">
        <v>208958</v>
      </c>
      <c r="Y58" s="169">
        <v>179596.09700000001</v>
      </c>
      <c r="Z58" s="131">
        <f t="shared" si="14"/>
        <v>0.29124070301688659</v>
      </c>
    </row>
    <row r="59" spans="1:26" ht="12.75" customHeight="1" x14ac:dyDescent="0.2">
      <c r="A59" s="114" t="str">
        <f>$A$19</f>
        <v>120.0% oder höher</v>
      </c>
      <c r="B59" s="33">
        <v>569</v>
      </c>
      <c r="C59" s="8">
        <v>481642</v>
      </c>
      <c r="D59" s="8">
        <v>100016</v>
      </c>
      <c r="E59" s="152">
        <v>85078.573999999993</v>
      </c>
      <c r="F59" s="34">
        <f t="shared" si="15"/>
        <v>0.11059540366273937</v>
      </c>
      <c r="G59" s="47">
        <v>427</v>
      </c>
      <c r="H59" s="48">
        <v>158175</v>
      </c>
      <c r="I59" s="48">
        <v>52475</v>
      </c>
      <c r="J59" s="162">
        <v>46410.47</v>
      </c>
      <c r="K59" s="50">
        <f t="shared" si="11"/>
        <v>6.3334122829780889E-2</v>
      </c>
      <c r="L59" s="128">
        <v>457</v>
      </c>
      <c r="M59" s="129">
        <v>240970</v>
      </c>
      <c r="N59" s="129">
        <v>84741</v>
      </c>
      <c r="O59" s="169">
        <v>66561.126000000004</v>
      </c>
      <c r="P59" s="131">
        <f t="shared" si="12"/>
        <v>9.4549478822216093E-2</v>
      </c>
      <c r="Q59" s="128">
        <v>565</v>
      </c>
      <c r="R59" s="129">
        <v>334223</v>
      </c>
      <c r="S59" s="129">
        <v>105174</v>
      </c>
      <c r="T59" s="169">
        <v>91228.607999999993</v>
      </c>
      <c r="U59" s="131">
        <f t="shared" si="13"/>
        <v>0.13441076948932226</v>
      </c>
      <c r="V59" s="128">
        <v>425</v>
      </c>
      <c r="W59" s="129">
        <v>139759</v>
      </c>
      <c r="X59" s="129">
        <v>53456</v>
      </c>
      <c r="Y59" s="169">
        <v>38880.256000000001</v>
      </c>
      <c r="Z59" s="131">
        <f t="shared" si="14"/>
        <v>6.3049884045734708E-2</v>
      </c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Z76" si="16">SUM(B$52:B$75)</f>
        <v>1616</v>
      </c>
      <c r="C76" s="9">
        <f t="shared" si="16"/>
        <v>3850189</v>
      </c>
      <c r="D76" s="9">
        <f t="shared" si="16"/>
        <v>761307</v>
      </c>
      <c r="E76" s="153">
        <f t="shared" si="16"/>
        <v>769277.66599999997</v>
      </c>
      <c r="F76" s="67">
        <f t="shared" si="16"/>
        <v>1</v>
      </c>
      <c r="G76" s="51">
        <f t="shared" si="16"/>
        <v>1643</v>
      </c>
      <c r="H76" s="68">
        <f t="shared" si="16"/>
        <v>3728054</v>
      </c>
      <c r="I76" s="68">
        <f t="shared" si="16"/>
        <v>738727</v>
      </c>
      <c r="J76" s="163">
        <f t="shared" si="16"/>
        <v>732787.76</v>
      </c>
      <c r="K76" s="69">
        <f t="shared" si="16"/>
        <v>1</v>
      </c>
      <c r="L76" s="132">
        <f t="shared" si="16"/>
        <v>1705</v>
      </c>
      <c r="M76" s="133">
        <f t="shared" si="16"/>
        <v>3729812</v>
      </c>
      <c r="N76" s="133">
        <f t="shared" si="16"/>
        <v>734767</v>
      </c>
      <c r="O76" s="170">
        <f t="shared" si="16"/>
        <v>703981.94500000007</v>
      </c>
      <c r="P76" s="135">
        <f t="shared" si="16"/>
        <v>0.99999999999999989</v>
      </c>
      <c r="Q76" s="132">
        <f t="shared" si="16"/>
        <v>1802</v>
      </c>
      <c r="R76" s="133">
        <f t="shared" si="16"/>
        <v>3664657</v>
      </c>
      <c r="S76" s="133">
        <f t="shared" si="16"/>
        <v>714906</v>
      </c>
      <c r="T76" s="170">
        <f t="shared" si="16"/>
        <v>678729.89900000009</v>
      </c>
      <c r="U76" s="135">
        <f t="shared" si="16"/>
        <v>0.99999999999999989</v>
      </c>
      <c r="V76" s="132">
        <f t="shared" si="16"/>
        <v>1847</v>
      </c>
      <c r="W76" s="133">
        <f t="shared" si="16"/>
        <v>3574632</v>
      </c>
      <c r="X76" s="133">
        <f t="shared" si="16"/>
        <v>783627</v>
      </c>
      <c r="Y76" s="170">
        <f t="shared" si="16"/>
        <v>616658.64400000009</v>
      </c>
      <c r="Z76" s="135">
        <f t="shared" si="16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ht="12.75" customHeight="1" x14ac:dyDescent="0.2">
      <c r="A92" s="114" t="str">
        <f>$A$12</f>
        <v>unter 60.0%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3" si="17">E92/E$116</f>
        <v>0</v>
      </c>
      <c r="G92" s="53">
        <v>1</v>
      </c>
      <c r="H92" s="54">
        <v>47340</v>
      </c>
      <c r="I92" s="54">
        <v>23342</v>
      </c>
      <c r="J92" s="164">
        <v>20661.907999999999</v>
      </c>
      <c r="K92" s="56">
        <f t="shared" ref="K92:K99" si="18">J92/J$116</f>
        <v>0.16233762953273886</v>
      </c>
      <c r="L92" s="136">
        <v>2</v>
      </c>
      <c r="M92" s="137">
        <v>65130</v>
      </c>
      <c r="N92" s="137">
        <v>31438</v>
      </c>
      <c r="O92" s="171">
        <v>24558.92</v>
      </c>
      <c r="P92" s="139">
        <f t="shared" ref="P92:P99" si="19">O92/O$116</f>
        <v>0.20594826031854332</v>
      </c>
      <c r="Q92" s="136">
        <v>3</v>
      </c>
      <c r="R92" s="137">
        <v>18563</v>
      </c>
      <c r="S92" s="137">
        <v>8280</v>
      </c>
      <c r="T92" s="171">
        <v>5673.509</v>
      </c>
      <c r="U92" s="139">
        <f t="shared" ref="U92:U99" si="20">T92/T$116</f>
        <v>4.5278998153535997E-2</v>
      </c>
      <c r="V92" s="136">
        <v>4</v>
      </c>
      <c r="W92" s="137">
        <v>46951</v>
      </c>
      <c r="X92" s="137">
        <v>24789</v>
      </c>
      <c r="Y92" s="171">
        <v>19153.575000000001</v>
      </c>
      <c r="Z92" s="139">
        <f t="shared" ref="Z92:Z99" si="21">Y92/Y$116</f>
        <v>0.14871227830021777</v>
      </c>
    </row>
    <row r="93" spans="1:26" ht="12.75" customHeight="1" x14ac:dyDescent="0.2">
      <c r="A93" s="114" t="str">
        <f>$A$13</f>
        <v>60.0% – 69.9%</v>
      </c>
      <c r="B93" s="36">
        <v>6</v>
      </c>
      <c r="C93" s="10">
        <v>91992</v>
      </c>
      <c r="D93" s="10">
        <v>47678</v>
      </c>
      <c r="E93" s="154">
        <v>38654.646000000001</v>
      </c>
      <c r="F93" s="37">
        <f t="shared" si="17"/>
        <v>0.28844572981008593</v>
      </c>
      <c r="G93" s="53">
        <v>6</v>
      </c>
      <c r="H93" s="54">
        <v>50759</v>
      </c>
      <c r="I93" s="54">
        <v>25357</v>
      </c>
      <c r="J93" s="164">
        <v>18756.8</v>
      </c>
      <c r="K93" s="56">
        <f t="shared" si="18"/>
        <v>0.14736947089395985</v>
      </c>
      <c r="L93" s="136">
        <v>4</v>
      </c>
      <c r="M93" s="137">
        <v>24676</v>
      </c>
      <c r="N93" s="137">
        <v>13393</v>
      </c>
      <c r="O93" s="171">
        <v>10433.527</v>
      </c>
      <c r="P93" s="139">
        <f t="shared" si="19"/>
        <v>8.7494349696018825E-2</v>
      </c>
      <c r="Q93" s="136">
        <v>5</v>
      </c>
      <c r="R93" s="137">
        <v>75915</v>
      </c>
      <c r="S93" s="137">
        <v>38354</v>
      </c>
      <c r="T93" s="171">
        <v>29800.546999999999</v>
      </c>
      <c r="U93" s="139">
        <f t="shared" si="20"/>
        <v>0.23783145714360593</v>
      </c>
      <c r="V93" s="136">
        <v>7</v>
      </c>
      <c r="W93" s="137">
        <v>57942</v>
      </c>
      <c r="X93" s="137">
        <v>27716</v>
      </c>
      <c r="Y93" s="171">
        <v>19590.345000000001</v>
      </c>
      <c r="Z93" s="139">
        <f t="shared" si="21"/>
        <v>0.15210345001584716</v>
      </c>
    </row>
    <row r="94" spans="1:26" x14ac:dyDescent="0.2">
      <c r="A94" s="114" t="str">
        <f>$A$14</f>
        <v>70.0% – 79.9%</v>
      </c>
      <c r="B94" s="36">
        <v>6</v>
      </c>
      <c r="C94" s="10">
        <v>77319</v>
      </c>
      <c r="D94" s="10">
        <v>33676</v>
      </c>
      <c r="E94" s="154">
        <v>29463.8</v>
      </c>
      <c r="F94" s="37">
        <f t="shared" ref="F94:F99" si="22">E94/E$116</f>
        <v>0.21986250485849512</v>
      </c>
      <c r="G94" s="53">
        <v>6</v>
      </c>
      <c r="H94" s="54">
        <v>80069</v>
      </c>
      <c r="I94" s="54">
        <v>35091</v>
      </c>
      <c r="J94" s="164">
        <v>30333.492999999999</v>
      </c>
      <c r="K94" s="56">
        <f t="shared" si="18"/>
        <v>0.23832587721656331</v>
      </c>
      <c r="L94" s="136">
        <v>6</v>
      </c>
      <c r="M94" s="137">
        <v>78013</v>
      </c>
      <c r="N94" s="137">
        <v>33665</v>
      </c>
      <c r="O94" s="171">
        <v>29207.325000000001</v>
      </c>
      <c r="P94" s="139">
        <f t="shared" si="19"/>
        <v>0.24492924657551304</v>
      </c>
      <c r="Q94" s="136">
        <v>6</v>
      </c>
      <c r="R94" s="137">
        <v>66448</v>
      </c>
      <c r="S94" s="137">
        <v>27877</v>
      </c>
      <c r="T94" s="171">
        <v>23527.444</v>
      </c>
      <c r="U94" s="139">
        <f t="shared" si="20"/>
        <v>0.18776723425192796</v>
      </c>
      <c r="V94" s="136">
        <v>5</v>
      </c>
      <c r="W94" s="137">
        <v>63463</v>
      </c>
      <c r="X94" s="137">
        <v>26201</v>
      </c>
      <c r="Y94" s="171">
        <v>22369.057000000001</v>
      </c>
      <c r="Z94" s="139">
        <f t="shared" si="21"/>
        <v>0.17367793896948397</v>
      </c>
    </row>
    <row r="95" spans="1:26" x14ac:dyDescent="0.2">
      <c r="A95" s="114" t="str">
        <f>$A$15</f>
        <v>80.0% – 89.9%</v>
      </c>
      <c r="B95" s="36">
        <v>1</v>
      </c>
      <c r="C95" s="10">
        <v>11504</v>
      </c>
      <c r="D95" s="10">
        <v>5826</v>
      </c>
      <c r="E95" s="154">
        <v>5188</v>
      </c>
      <c r="F95" s="37">
        <f t="shared" si="22"/>
        <v>3.8713495041572121E-2</v>
      </c>
      <c r="G95" s="53">
        <v>2</v>
      </c>
      <c r="H95" s="54">
        <v>859</v>
      </c>
      <c r="I95" s="54">
        <v>433</v>
      </c>
      <c r="J95" s="164">
        <v>237.22399999999999</v>
      </c>
      <c r="K95" s="56">
        <f t="shared" si="18"/>
        <v>1.8638347353145915E-3</v>
      </c>
      <c r="L95" s="136">
        <v>2</v>
      </c>
      <c r="M95" s="137">
        <v>849</v>
      </c>
      <c r="N95" s="137">
        <v>424</v>
      </c>
      <c r="O95" s="171">
        <v>231.446</v>
      </c>
      <c r="P95" s="139">
        <f t="shared" si="19"/>
        <v>1.9408793651221462E-3</v>
      </c>
      <c r="Q95" s="136">
        <v>4</v>
      </c>
      <c r="R95" s="137">
        <v>62499</v>
      </c>
      <c r="S95" s="137">
        <v>26014</v>
      </c>
      <c r="T95" s="171">
        <v>25002.007000000001</v>
      </c>
      <c r="U95" s="139">
        <f t="shared" si="20"/>
        <v>0.1995353896129704</v>
      </c>
      <c r="V95" s="136">
        <v>11</v>
      </c>
      <c r="W95" s="137">
        <v>105808</v>
      </c>
      <c r="X95" s="137">
        <v>43948</v>
      </c>
      <c r="Y95" s="171">
        <v>38468.1</v>
      </c>
      <c r="Z95" s="139">
        <f t="shared" si="21"/>
        <v>0.29867420535751715</v>
      </c>
    </row>
    <row r="96" spans="1:26" x14ac:dyDescent="0.2">
      <c r="A96" s="114" t="str">
        <f>$A$16</f>
        <v>90.0% – 99.9%</v>
      </c>
      <c r="B96" s="36">
        <v>13</v>
      </c>
      <c r="C96" s="10">
        <v>98131</v>
      </c>
      <c r="D96" s="10">
        <v>44279</v>
      </c>
      <c r="E96" s="154">
        <v>40021.218000000001</v>
      </c>
      <c r="F96" s="37">
        <f t="shared" si="22"/>
        <v>0.29864325840413974</v>
      </c>
      <c r="G96" s="53">
        <v>17</v>
      </c>
      <c r="H96" s="54">
        <v>127343</v>
      </c>
      <c r="I96" s="54">
        <v>59695</v>
      </c>
      <c r="J96" s="164">
        <v>51889.131000000001</v>
      </c>
      <c r="K96" s="56">
        <f t="shared" si="18"/>
        <v>0.40768541438930789</v>
      </c>
      <c r="L96" s="136">
        <v>15</v>
      </c>
      <c r="M96" s="137">
        <v>101280</v>
      </c>
      <c r="N96" s="137">
        <v>43073</v>
      </c>
      <c r="O96" s="171">
        <v>38283.680999999997</v>
      </c>
      <c r="P96" s="139">
        <f t="shared" si="19"/>
        <v>0.32104251736395861</v>
      </c>
      <c r="Q96" s="136">
        <v>10</v>
      </c>
      <c r="R96" s="137">
        <v>18458</v>
      </c>
      <c r="S96" s="137">
        <v>11278</v>
      </c>
      <c r="T96" s="171">
        <v>7973.98</v>
      </c>
      <c r="U96" s="139">
        <f t="shared" si="20"/>
        <v>6.3638539340703071E-2</v>
      </c>
      <c r="V96" s="136">
        <v>15</v>
      </c>
      <c r="W96" s="137">
        <v>34897</v>
      </c>
      <c r="X96" s="137">
        <v>11772</v>
      </c>
      <c r="Y96" s="171">
        <v>10220.11</v>
      </c>
      <c r="Z96" s="139">
        <f t="shared" si="21"/>
        <v>7.9351026770659708E-2</v>
      </c>
    </row>
    <row r="97" spans="1:26" x14ac:dyDescent="0.2">
      <c r="A97" s="114" t="str">
        <f>$A$17</f>
        <v>100.0% – 109.9%</v>
      </c>
      <c r="B97" s="36">
        <v>9</v>
      </c>
      <c r="C97" s="10">
        <v>42497</v>
      </c>
      <c r="D97" s="10">
        <v>22042</v>
      </c>
      <c r="E97" s="154">
        <v>19002.522000000001</v>
      </c>
      <c r="F97" s="37">
        <f t="shared" si="22"/>
        <v>0.14179915983507424</v>
      </c>
      <c r="G97" s="53">
        <v>7</v>
      </c>
      <c r="H97" s="54">
        <v>15670</v>
      </c>
      <c r="I97" s="54">
        <v>6180</v>
      </c>
      <c r="J97" s="164">
        <v>5398.8230000000003</v>
      </c>
      <c r="K97" s="56">
        <f t="shared" si="18"/>
        <v>4.2417773232115347E-2</v>
      </c>
      <c r="L97" s="136">
        <v>9</v>
      </c>
      <c r="M97" s="137">
        <v>38395</v>
      </c>
      <c r="N97" s="137">
        <v>21841</v>
      </c>
      <c r="O97" s="171">
        <v>16533.11</v>
      </c>
      <c r="P97" s="139">
        <f t="shared" si="19"/>
        <v>0.13864474668084395</v>
      </c>
      <c r="Q97" s="136">
        <v>13</v>
      </c>
      <c r="R97" s="137">
        <v>70017</v>
      </c>
      <c r="S97" s="137">
        <v>31454</v>
      </c>
      <c r="T97" s="171">
        <v>25430.559000000001</v>
      </c>
      <c r="U97" s="139">
        <f t="shared" si="20"/>
        <v>0.20295556665273434</v>
      </c>
      <c r="V97" s="136">
        <v>15</v>
      </c>
      <c r="W97" s="137">
        <v>48622</v>
      </c>
      <c r="X97" s="137">
        <v>25079</v>
      </c>
      <c r="Y97" s="171">
        <v>18870.313999999998</v>
      </c>
      <c r="Z97" s="139">
        <f t="shared" si="21"/>
        <v>0.14651298189400647</v>
      </c>
    </row>
    <row r="98" spans="1:26" x14ac:dyDescent="0.2">
      <c r="A98" s="114" t="str">
        <f>$A$18</f>
        <v>110.0% – 119.9%</v>
      </c>
      <c r="B98" s="36">
        <v>3</v>
      </c>
      <c r="C98" s="10">
        <v>4280</v>
      </c>
      <c r="D98" s="10">
        <v>2683</v>
      </c>
      <c r="E98" s="154">
        <v>1679.931</v>
      </c>
      <c r="F98" s="37">
        <f t="shared" si="22"/>
        <v>1.2535852050632864E-2</v>
      </c>
      <c r="G98" s="53">
        <v>0</v>
      </c>
      <c r="H98" s="54">
        <v>0</v>
      </c>
      <c r="I98" s="54">
        <v>0</v>
      </c>
      <c r="J98" s="164">
        <v>0</v>
      </c>
      <c r="K98" s="56">
        <f t="shared" si="18"/>
        <v>0</v>
      </c>
      <c r="L98" s="136">
        <v>0</v>
      </c>
      <c r="M98" s="137">
        <v>0</v>
      </c>
      <c r="N98" s="137">
        <v>0</v>
      </c>
      <c r="O98" s="171">
        <v>0</v>
      </c>
      <c r="P98" s="139">
        <f t="shared" si="19"/>
        <v>0</v>
      </c>
      <c r="Q98" s="136">
        <v>2</v>
      </c>
      <c r="R98" s="137">
        <v>27480</v>
      </c>
      <c r="S98" s="137">
        <v>10655</v>
      </c>
      <c r="T98" s="171">
        <v>7893.07</v>
      </c>
      <c r="U98" s="139">
        <f t="shared" si="20"/>
        <v>6.299281484452221E-2</v>
      </c>
      <c r="V98" s="136">
        <v>1</v>
      </c>
      <c r="W98" s="137">
        <v>433</v>
      </c>
      <c r="X98" s="137">
        <v>200</v>
      </c>
      <c r="Y98" s="171">
        <v>124.69</v>
      </c>
      <c r="Z98" s="139">
        <f t="shared" si="21"/>
        <v>9.6811869226784821E-4</v>
      </c>
    </row>
    <row r="99" spans="1:26" ht="12.75" customHeight="1" x14ac:dyDescent="0.2">
      <c r="A99" s="114" t="str">
        <f>$A$19</f>
        <v>120.0% oder höher</v>
      </c>
      <c r="B99" s="36">
        <v>0</v>
      </c>
      <c r="C99" s="10">
        <v>0</v>
      </c>
      <c r="D99" s="10">
        <v>0</v>
      </c>
      <c r="E99" s="154">
        <v>0</v>
      </c>
      <c r="F99" s="37">
        <f t="shared" si="22"/>
        <v>0</v>
      </c>
      <c r="G99" s="53">
        <v>0</v>
      </c>
      <c r="H99" s="54">
        <v>0</v>
      </c>
      <c r="I99" s="54">
        <v>0</v>
      </c>
      <c r="J99" s="164">
        <v>0</v>
      </c>
      <c r="K99" s="56">
        <f t="shared" si="18"/>
        <v>0</v>
      </c>
      <c r="L99" s="136">
        <v>0</v>
      </c>
      <c r="M99" s="137">
        <v>0</v>
      </c>
      <c r="N99" s="137">
        <v>0</v>
      </c>
      <c r="O99" s="171">
        <v>0</v>
      </c>
      <c r="P99" s="139">
        <f t="shared" si="19"/>
        <v>0</v>
      </c>
      <c r="Q99" s="136">
        <v>0</v>
      </c>
      <c r="R99" s="137">
        <v>0</v>
      </c>
      <c r="S99" s="137">
        <v>0</v>
      </c>
      <c r="T99" s="171">
        <v>0</v>
      </c>
      <c r="U99" s="139">
        <f t="shared" si="20"/>
        <v>0</v>
      </c>
      <c r="V99" s="136">
        <v>0</v>
      </c>
      <c r="W99" s="137">
        <v>0</v>
      </c>
      <c r="X99" s="137">
        <v>0</v>
      </c>
      <c r="Y99" s="171">
        <v>0</v>
      </c>
      <c r="Z99" s="139">
        <f t="shared" si="21"/>
        <v>0</v>
      </c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Z116" si="23">SUM(B$92:B$115)</f>
        <v>38</v>
      </c>
      <c r="C116" s="11">
        <f t="shared" si="23"/>
        <v>325723</v>
      </c>
      <c r="D116" s="11">
        <f t="shared" si="23"/>
        <v>156184</v>
      </c>
      <c r="E116" s="155">
        <f t="shared" si="23"/>
        <v>134010.117</v>
      </c>
      <c r="F116" s="70">
        <f t="shared" si="23"/>
        <v>1</v>
      </c>
      <c r="G116" s="57">
        <f t="shared" si="23"/>
        <v>39</v>
      </c>
      <c r="H116" s="71">
        <f t="shared" si="23"/>
        <v>322040</v>
      </c>
      <c r="I116" s="71">
        <f t="shared" si="23"/>
        <v>150098</v>
      </c>
      <c r="J116" s="165">
        <f t="shared" si="23"/>
        <v>127277.37900000002</v>
      </c>
      <c r="K116" s="72">
        <f t="shared" si="23"/>
        <v>0.99999999999999978</v>
      </c>
      <c r="L116" s="140">
        <f t="shared" si="23"/>
        <v>38</v>
      </c>
      <c r="M116" s="141">
        <f t="shared" si="23"/>
        <v>308343</v>
      </c>
      <c r="N116" s="141">
        <f t="shared" si="23"/>
        <v>143834</v>
      </c>
      <c r="O116" s="172">
        <f t="shared" si="23"/>
        <v>119248.00900000001</v>
      </c>
      <c r="P116" s="143">
        <f t="shared" si="23"/>
        <v>0.99999999999999989</v>
      </c>
      <c r="Q116" s="140">
        <f t="shared" si="23"/>
        <v>43</v>
      </c>
      <c r="R116" s="141">
        <f t="shared" si="23"/>
        <v>339380</v>
      </c>
      <c r="S116" s="141">
        <f t="shared" si="23"/>
        <v>153912</v>
      </c>
      <c r="T116" s="172">
        <f t="shared" si="23"/>
        <v>125301.11600000001</v>
      </c>
      <c r="U116" s="143">
        <f t="shared" si="23"/>
        <v>0.99999999999999978</v>
      </c>
      <c r="V116" s="140">
        <f t="shared" si="23"/>
        <v>58</v>
      </c>
      <c r="W116" s="141">
        <f t="shared" si="23"/>
        <v>358116</v>
      </c>
      <c r="X116" s="141">
        <f t="shared" si="23"/>
        <v>159705</v>
      </c>
      <c r="Y116" s="172">
        <f t="shared" si="23"/>
        <v>128796.19099999999</v>
      </c>
      <c r="Z116" s="143">
        <f t="shared" si="23"/>
        <v>1.0000000000000002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7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Translation!$A$191</f>
        <v>Deckungsgrad mit einheitlichen Grundlagen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ht="12.75" customHeight="1" x14ac:dyDescent="0.2">
      <c r="A12" s="114" t="str">
        <f>Translation!$A192</f>
        <v>unter 60.0%</v>
      </c>
      <c r="B12" s="30">
        <v>5</v>
      </c>
      <c r="C12" s="6">
        <v>50315</v>
      </c>
      <c r="D12" s="6">
        <v>25700</v>
      </c>
      <c r="E12" s="150">
        <v>21973.352999999999</v>
      </c>
      <c r="F12" s="31">
        <f t="shared" ref="F12:F13" si="0">E12/E$36</f>
        <v>2.4325971648838297E-2</v>
      </c>
      <c r="G12" s="41">
        <v>9</v>
      </c>
      <c r="H12" s="42">
        <v>75780</v>
      </c>
      <c r="I12" s="42">
        <v>37659</v>
      </c>
      <c r="J12" s="160">
        <v>30577.142</v>
      </c>
      <c r="K12" s="44">
        <f t="shared" ref="K12:K14" si="1">J12/J$36</f>
        <v>3.5552123453756218E-2</v>
      </c>
      <c r="L12" s="76">
        <v>14</v>
      </c>
      <c r="M12" s="122">
        <v>74652</v>
      </c>
      <c r="N12" s="122">
        <v>36991</v>
      </c>
      <c r="O12" s="167">
        <v>28282.328000000001</v>
      </c>
      <c r="P12" s="124">
        <f t="shared" ref="P12:P14" si="2">O12/O$36</f>
        <v>3.4355319388682019E-2</v>
      </c>
      <c r="Q12" s="76">
        <v>25</v>
      </c>
      <c r="R12" s="122">
        <v>66305</v>
      </c>
      <c r="S12" s="122">
        <v>32292</v>
      </c>
      <c r="T12" s="167">
        <v>24873.235999999997</v>
      </c>
      <c r="U12" s="124">
        <f t="shared" ref="U12:U14" si="3">T12/T$36</f>
        <v>3.0935667326216266E-2</v>
      </c>
      <c r="V12" s="76">
        <v>12</v>
      </c>
      <c r="W12" s="122">
        <v>62528</v>
      </c>
      <c r="X12" s="122">
        <v>32770</v>
      </c>
      <c r="Y12" s="167">
        <v>24336.719999999998</v>
      </c>
      <c r="Z12" s="124">
        <f t="shared" ref="Z12:Z14" si="4">Y12/Y$36</f>
        <v>3.2646806831697586E-2</v>
      </c>
    </row>
    <row r="13" spans="1:26" ht="12.75" customHeight="1" x14ac:dyDescent="0.2">
      <c r="A13" s="114" t="str">
        <f>Translation!$A193</f>
        <v>60.0% – 69.9%</v>
      </c>
      <c r="B13" s="30">
        <v>9</v>
      </c>
      <c r="C13" s="6">
        <v>118571</v>
      </c>
      <c r="D13" s="6">
        <v>55510</v>
      </c>
      <c r="E13" s="150">
        <v>46060.968999999997</v>
      </c>
      <c r="F13" s="31">
        <f t="shared" si="0"/>
        <v>5.0992573869450865E-2</v>
      </c>
      <c r="G13" s="41">
        <v>6</v>
      </c>
      <c r="H13" s="42">
        <v>90724</v>
      </c>
      <c r="I13" s="42">
        <v>40406</v>
      </c>
      <c r="J13" s="160">
        <v>34115.726000000002</v>
      </c>
      <c r="K13" s="44">
        <f t="shared" si="1"/>
        <v>3.9666444380790096E-2</v>
      </c>
      <c r="L13" s="76">
        <v>6</v>
      </c>
      <c r="M13" s="122">
        <v>82517</v>
      </c>
      <c r="N13" s="122">
        <v>36430</v>
      </c>
      <c r="O13" s="167">
        <v>31311.374</v>
      </c>
      <c r="P13" s="124">
        <f t="shared" si="2"/>
        <v>3.803478462835428E-2</v>
      </c>
      <c r="Q13" s="76">
        <v>7</v>
      </c>
      <c r="R13" s="122">
        <v>60379</v>
      </c>
      <c r="S13" s="122">
        <v>25950</v>
      </c>
      <c r="T13" s="167">
        <v>19759.547999999999</v>
      </c>
      <c r="U13" s="124">
        <f t="shared" si="3"/>
        <v>2.4575604213476765E-2</v>
      </c>
      <c r="V13" s="76">
        <v>7</v>
      </c>
      <c r="W13" s="122">
        <v>94515</v>
      </c>
      <c r="X13" s="122">
        <v>41230</v>
      </c>
      <c r="Y13" s="167">
        <v>32915.591</v>
      </c>
      <c r="Z13" s="124">
        <f t="shared" si="4"/>
        <v>4.415504394709574E-2</v>
      </c>
    </row>
    <row r="14" spans="1:26" x14ac:dyDescent="0.2">
      <c r="A14" s="114" t="str">
        <f>Translation!$A194</f>
        <v>70.0% – 79.9%</v>
      </c>
      <c r="B14" s="30">
        <v>4</v>
      </c>
      <c r="C14" s="6">
        <v>12231</v>
      </c>
      <c r="D14" s="6">
        <v>6206</v>
      </c>
      <c r="E14" s="150">
        <v>5381.1230000000005</v>
      </c>
      <c r="F14" s="31">
        <f t="shared" ref="F14:F19" si="5">E14/E$36</f>
        <v>5.9572631239716446E-3</v>
      </c>
      <c r="G14" s="41">
        <v>13</v>
      </c>
      <c r="H14" s="42">
        <v>14031</v>
      </c>
      <c r="I14" s="42">
        <v>7163</v>
      </c>
      <c r="J14" s="160">
        <v>5851.1170000000002</v>
      </c>
      <c r="K14" s="44">
        <f t="shared" si="1"/>
        <v>6.8031091305515642E-3</v>
      </c>
      <c r="L14" s="76">
        <v>12</v>
      </c>
      <c r="M14" s="122">
        <v>13044</v>
      </c>
      <c r="N14" s="122">
        <v>6665</v>
      </c>
      <c r="O14" s="167">
        <v>5406.0870000000004</v>
      </c>
      <c r="P14" s="124">
        <f t="shared" si="2"/>
        <v>6.5669221263540186E-3</v>
      </c>
      <c r="Q14" s="76">
        <v>10</v>
      </c>
      <c r="R14" s="122">
        <v>57951</v>
      </c>
      <c r="S14" s="122">
        <v>26956</v>
      </c>
      <c r="T14" s="167">
        <v>23477.995999999999</v>
      </c>
      <c r="U14" s="124">
        <f t="shared" si="3"/>
        <v>2.9200361132835157E-2</v>
      </c>
      <c r="V14" s="76">
        <v>13</v>
      </c>
      <c r="W14" s="122">
        <v>75103</v>
      </c>
      <c r="X14" s="122">
        <v>30836</v>
      </c>
      <c r="Y14" s="167">
        <v>27120.204000000002</v>
      </c>
      <c r="Z14" s="124">
        <f t="shared" si="4"/>
        <v>3.6380747332599973E-2</v>
      </c>
    </row>
    <row r="15" spans="1:26" x14ac:dyDescent="0.2">
      <c r="A15" s="114" t="str">
        <f>Translation!$A195</f>
        <v>80.0% – 89.9%</v>
      </c>
      <c r="B15" s="30">
        <v>22</v>
      </c>
      <c r="C15" s="6">
        <v>17693</v>
      </c>
      <c r="D15" s="6">
        <v>10498</v>
      </c>
      <c r="E15" s="150">
        <v>9207.366</v>
      </c>
      <c r="F15" s="31">
        <f t="shared" si="5"/>
        <v>1.0193170076340997E-2</v>
      </c>
      <c r="G15" s="41">
        <v>29</v>
      </c>
      <c r="H15" s="42">
        <v>56621</v>
      </c>
      <c r="I15" s="42">
        <v>28232</v>
      </c>
      <c r="J15" s="160">
        <v>21906.732</v>
      </c>
      <c r="K15" s="44">
        <f t="shared" ref="K15:K19" si="6">J15/J$36</f>
        <v>2.5471014934369988E-2</v>
      </c>
      <c r="L15" s="76">
        <v>29</v>
      </c>
      <c r="M15" s="122">
        <v>40099</v>
      </c>
      <c r="N15" s="122">
        <v>24708</v>
      </c>
      <c r="O15" s="167">
        <v>18216.849999999999</v>
      </c>
      <c r="P15" s="124">
        <f t="shared" ref="P15:P19" si="7">O15/O$36</f>
        <v>2.2128507243311508E-2</v>
      </c>
      <c r="Q15" s="76">
        <v>29</v>
      </c>
      <c r="R15" s="122">
        <v>80513</v>
      </c>
      <c r="S15" s="122">
        <v>33591</v>
      </c>
      <c r="T15" s="167">
        <v>28781.93</v>
      </c>
      <c r="U15" s="124">
        <f t="shared" ref="U15:U19" si="8">T15/T$36</f>
        <v>3.5797039496044819E-2</v>
      </c>
      <c r="V15" s="76">
        <v>46</v>
      </c>
      <c r="W15" s="122">
        <v>133125</v>
      </c>
      <c r="X15" s="122">
        <v>58149</v>
      </c>
      <c r="Y15" s="167">
        <v>41360.501000000004</v>
      </c>
      <c r="Z15" s="124">
        <f t="shared" ref="Z15:Z19" si="9">Y15/Y$36</f>
        <v>5.5483577351805632E-2</v>
      </c>
    </row>
    <row r="16" spans="1:26" x14ac:dyDescent="0.2">
      <c r="A16" s="114" t="str">
        <f>Translation!$A196</f>
        <v>90.0% – 99.9%</v>
      </c>
      <c r="B16" s="30">
        <v>84</v>
      </c>
      <c r="C16" s="6">
        <v>234609</v>
      </c>
      <c r="D16" s="6">
        <v>102219</v>
      </c>
      <c r="E16" s="150">
        <v>87074.487999999998</v>
      </c>
      <c r="F16" s="31">
        <f t="shared" si="5"/>
        <v>9.6397282946535767E-2</v>
      </c>
      <c r="G16" s="41">
        <v>161</v>
      </c>
      <c r="H16" s="42">
        <v>660420</v>
      </c>
      <c r="I16" s="42">
        <v>252448</v>
      </c>
      <c r="J16" s="160">
        <v>202648.821</v>
      </c>
      <c r="K16" s="44">
        <f t="shared" si="6"/>
        <v>0.23562031735831115</v>
      </c>
      <c r="L16" s="76">
        <v>203</v>
      </c>
      <c r="M16" s="122">
        <v>733674</v>
      </c>
      <c r="N16" s="122">
        <v>269690</v>
      </c>
      <c r="O16" s="167">
        <v>211915.916</v>
      </c>
      <c r="P16" s="124">
        <f t="shared" si="7"/>
        <v>0.25742007439151082</v>
      </c>
      <c r="Q16" s="76">
        <v>113</v>
      </c>
      <c r="R16" s="122">
        <v>353977</v>
      </c>
      <c r="S16" s="122">
        <v>128214</v>
      </c>
      <c r="T16" s="167">
        <v>97521.356</v>
      </c>
      <c r="U16" s="124">
        <f t="shared" si="8"/>
        <v>0.12129054001729027</v>
      </c>
      <c r="V16" s="76">
        <v>218</v>
      </c>
      <c r="W16" s="122">
        <v>506604</v>
      </c>
      <c r="X16" s="122">
        <v>211832</v>
      </c>
      <c r="Y16" s="167">
        <v>188872.484</v>
      </c>
      <c r="Z16" s="124">
        <f t="shared" si="9"/>
        <v>0.25336542890623281</v>
      </c>
    </row>
    <row r="17" spans="1:26" x14ac:dyDescent="0.2">
      <c r="A17" s="114" t="str">
        <f>Translation!$A197</f>
        <v>100.0% – 109.9%</v>
      </c>
      <c r="B17" s="30">
        <v>468</v>
      </c>
      <c r="C17" s="6">
        <v>2244461</v>
      </c>
      <c r="D17" s="6">
        <v>365597</v>
      </c>
      <c r="E17" s="150">
        <v>411941.97600000002</v>
      </c>
      <c r="F17" s="31">
        <f t="shared" si="5"/>
        <v>0.45604732373536383</v>
      </c>
      <c r="G17" s="41">
        <v>584</v>
      </c>
      <c r="H17" s="42">
        <v>2166955</v>
      </c>
      <c r="I17" s="42">
        <v>275293</v>
      </c>
      <c r="J17" s="160">
        <v>354599.402</v>
      </c>
      <c r="K17" s="44">
        <f t="shared" si="6"/>
        <v>0.41229365767840986</v>
      </c>
      <c r="L17" s="76">
        <v>605</v>
      </c>
      <c r="M17" s="122">
        <v>2173472</v>
      </c>
      <c r="N17" s="122">
        <v>273660</v>
      </c>
      <c r="O17" s="167">
        <v>333843.86099999998</v>
      </c>
      <c r="P17" s="124">
        <f t="shared" si="7"/>
        <v>0.40552929273027888</v>
      </c>
      <c r="Q17" s="76">
        <v>577</v>
      </c>
      <c r="R17" s="122">
        <v>2045116</v>
      </c>
      <c r="S17" s="122">
        <v>298926</v>
      </c>
      <c r="T17" s="167">
        <v>335903.97100000002</v>
      </c>
      <c r="U17" s="124">
        <f t="shared" si="8"/>
        <v>0.4177748926762484</v>
      </c>
      <c r="V17" s="76">
        <v>697</v>
      </c>
      <c r="W17" s="122">
        <v>2164262</v>
      </c>
      <c r="X17" s="122">
        <v>346159</v>
      </c>
      <c r="Y17" s="167">
        <v>255937.56100000002</v>
      </c>
      <c r="Z17" s="124">
        <f t="shared" si="9"/>
        <v>0.34333074115751094</v>
      </c>
    </row>
    <row r="18" spans="1:26" x14ac:dyDescent="0.2">
      <c r="A18" s="114" t="str">
        <f>Translation!$A198</f>
        <v>110.0% – 119.9%</v>
      </c>
      <c r="B18" s="30">
        <v>520</v>
      </c>
      <c r="C18" s="6">
        <v>1193017</v>
      </c>
      <c r="D18" s="6">
        <v>239388</v>
      </c>
      <c r="E18" s="150">
        <v>232660.17299999998</v>
      </c>
      <c r="F18" s="31">
        <f t="shared" si="5"/>
        <v>0.25757037499974689</v>
      </c>
      <c r="G18" s="41">
        <v>474</v>
      </c>
      <c r="H18" s="42">
        <v>833910</v>
      </c>
      <c r="I18" s="42">
        <v>191961</v>
      </c>
      <c r="J18" s="160">
        <v>163224.36299999998</v>
      </c>
      <c r="K18" s="44">
        <f t="shared" si="6"/>
        <v>0.18978139631351806</v>
      </c>
      <c r="L18" s="76">
        <v>454</v>
      </c>
      <c r="M18" s="122">
        <v>770961</v>
      </c>
      <c r="N18" s="122">
        <v>178408</v>
      </c>
      <c r="O18" s="167">
        <v>149990.946</v>
      </c>
      <c r="P18" s="124">
        <f t="shared" si="7"/>
        <v>0.18219811520609466</v>
      </c>
      <c r="Q18" s="76">
        <v>549</v>
      </c>
      <c r="R18" s="122">
        <v>1010026</v>
      </c>
      <c r="S18" s="122">
        <v>190049</v>
      </c>
      <c r="T18" s="167">
        <v>166251.967</v>
      </c>
      <c r="U18" s="124">
        <f t="shared" si="8"/>
        <v>0.20677307703111431</v>
      </c>
      <c r="V18" s="76">
        <v>510</v>
      </c>
      <c r="W18" s="122">
        <v>719602</v>
      </c>
      <c r="X18" s="122">
        <v>142845</v>
      </c>
      <c r="Y18" s="167">
        <v>121567.52</v>
      </c>
      <c r="Z18" s="124">
        <f t="shared" si="9"/>
        <v>0.16307831714580001</v>
      </c>
    </row>
    <row r="19" spans="1:26" ht="12.75" customHeight="1" x14ac:dyDescent="0.2">
      <c r="A19" s="110" t="str">
        <f>Translation!$A199</f>
        <v>120.0% oder höher</v>
      </c>
      <c r="B19" s="30">
        <v>542</v>
      </c>
      <c r="C19" s="6">
        <v>305015</v>
      </c>
      <c r="D19" s="6">
        <v>112373</v>
      </c>
      <c r="E19" s="150">
        <v>88988.335000000006</v>
      </c>
      <c r="F19" s="31">
        <f t="shared" si="5"/>
        <v>9.8516039599751803E-2</v>
      </c>
      <c r="G19" s="41">
        <v>406</v>
      </c>
      <c r="H19" s="42">
        <v>151653</v>
      </c>
      <c r="I19" s="42">
        <v>55663</v>
      </c>
      <c r="J19" s="160">
        <v>47141.836000000003</v>
      </c>
      <c r="K19" s="44">
        <f t="shared" si="6"/>
        <v>5.4811936750293055E-2</v>
      </c>
      <c r="L19" s="76">
        <v>420</v>
      </c>
      <c r="M19" s="122">
        <v>149736</v>
      </c>
      <c r="N19" s="122">
        <v>52049</v>
      </c>
      <c r="O19" s="167">
        <v>44262.591999999997</v>
      </c>
      <c r="P19" s="124">
        <f t="shared" si="7"/>
        <v>5.3766984285413891E-2</v>
      </c>
      <c r="Q19" s="76">
        <v>535</v>
      </c>
      <c r="R19" s="122">
        <v>329770</v>
      </c>
      <c r="S19" s="122">
        <v>132840</v>
      </c>
      <c r="T19" s="167">
        <v>107461.011</v>
      </c>
      <c r="U19" s="124">
        <f t="shared" si="8"/>
        <v>0.13365281810677418</v>
      </c>
      <c r="V19" s="76">
        <v>402</v>
      </c>
      <c r="W19" s="122">
        <v>177009</v>
      </c>
      <c r="X19" s="122">
        <v>79511</v>
      </c>
      <c r="Y19" s="167">
        <v>53344.254000000001</v>
      </c>
      <c r="Z19" s="124">
        <f t="shared" si="9"/>
        <v>7.1559337327257402E-2</v>
      </c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Z36" si="10">SUM(B$12:B$35)</f>
        <v>1654</v>
      </c>
      <c r="C36" s="7">
        <f t="shared" si="10"/>
        <v>4175912</v>
      </c>
      <c r="D36" s="7">
        <f t="shared" si="10"/>
        <v>917491</v>
      </c>
      <c r="E36" s="151">
        <f t="shared" si="10"/>
        <v>903287.78299999994</v>
      </c>
      <c r="F36" s="64">
        <f t="shared" si="10"/>
        <v>1</v>
      </c>
      <c r="G36" s="45">
        <f t="shared" si="10"/>
        <v>1682</v>
      </c>
      <c r="H36" s="65">
        <f t="shared" si="10"/>
        <v>4050094</v>
      </c>
      <c r="I36" s="65">
        <f t="shared" si="10"/>
        <v>888825</v>
      </c>
      <c r="J36" s="161">
        <f t="shared" si="10"/>
        <v>860065.13899999997</v>
      </c>
      <c r="K36" s="66">
        <f t="shared" si="10"/>
        <v>1</v>
      </c>
      <c r="L36" s="77">
        <f t="shared" si="10"/>
        <v>1743</v>
      </c>
      <c r="M36" s="125">
        <f t="shared" si="10"/>
        <v>4038155</v>
      </c>
      <c r="N36" s="125">
        <f t="shared" si="10"/>
        <v>878601</v>
      </c>
      <c r="O36" s="168">
        <f t="shared" si="10"/>
        <v>823229.95399999991</v>
      </c>
      <c r="P36" s="127">
        <f t="shared" si="10"/>
        <v>1</v>
      </c>
      <c r="Q36" s="77">
        <f t="shared" si="10"/>
        <v>1845</v>
      </c>
      <c r="R36" s="125">
        <f t="shared" si="10"/>
        <v>4004037</v>
      </c>
      <c r="S36" s="125">
        <f t="shared" si="10"/>
        <v>868818</v>
      </c>
      <c r="T36" s="168">
        <f t="shared" si="10"/>
        <v>804031.0149999999</v>
      </c>
      <c r="U36" s="127">
        <f t="shared" si="10"/>
        <v>1.0000000000000002</v>
      </c>
      <c r="V36" s="77">
        <f t="shared" si="10"/>
        <v>1905</v>
      </c>
      <c r="W36" s="125">
        <f t="shared" si="10"/>
        <v>3932748</v>
      </c>
      <c r="X36" s="125">
        <f t="shared" si="10"/>
        <v>943332</v>
      </c>
      <c r="Y36" s="168">
        <f t="shared" si="10"/>
        <v>745454.83499999996</v>
      </c>
      <c r="Z36" s="127">
        <f t="shared" si="10"/>
        <v>1.0000000000000002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ht="12.75" customHeight="1" x14ac:dyDescent="0.2">
      <c r="A52" s="114" t="str">
        <f>$A$12</f>
        <v>unter 60.0%</v>
      </c>
      <c r="B52" s="33">
        <v>2</v>
      </c>
      <c r="C52" s="8">
        <v>0</v>
      </c>
      <c r="D52" s="8">
        <v>101</v>
      </c>
      <c r="E52" s="152">
        <v>38.981000000000002</v>
      </c>
      <c r="F52" s="34">
        <f t="shared" ref="F52:F53" si="11">E52/E$76</f>
        <v>5.0672210728135197E-5</v>
      </c>
      <c r="G52" s="47">
        <v>4</v>
      </c>
      <c r="H52" s="48">
        <v>50</v>
      </c>
      <c r="I52" s="48">
        <v>106</v>
      </c>
      <c r="J52" s="162">
        <v>37.718000000000004</v>
      </c>
      <c r="K52" s="50">
        <f t="shared" ref="K52:K59" si="12">J52/J$76</f>
        <v>5.1471929607557865E-5</v>
      </c>
      <c r="L52" s="128">
        <v>9</v>
      </c>
      <c r="M52" s="129">
        <v>194</v>
      </c>
      <c r="N52" s="129">
        <v>131</v>
      </c>
      <c r="O52" s="169">
        <v>53.33</v>
      </c>
      <c r="P52" s="131">
        <f t="shared" ref="P52:P59" si="13">O52/O$76</f>
        <v>7.5754783739517641E-5</v>
      </c>
      <c r="Q52" s="128">
        <v>20</v>
      </c>
      <c r="R52" s="129">
        <v>337</v>
      </c>
      <c r="S52" s="129">
        <v>191</v>
      </c>
      <c r="T52" s="169">
        <v>136.25899999999999</v>
      </c>
      <c r="U52" s="131">
        <f t="shared" ref="U52:U59" si="14">T52/T$76</f>
        <v>2.0075585324995384E-4</v>
      </c>
      <c r="V52" s="128">
        <v>4</v>
      </c>
      <c r="W52" s="129">
        <v>7</v>
      </c>
      <c r="X52" s="129">
        <v>149</v>
      </c>
      <c r="Y52" s="169">
        <v>45.243000000000002</v>
      </c>
      <c r="Z52" s="131">
        <f t="shared" ref="Z52:Z59" si="15">Y52/Y$76</f>
        <v>7.336798152463749E-5</v>
      </c>
    </row>
    <row r="53" spans="1:26" ht="12.75" customHeight="1" x14ac:dyDescent="0.2">
      <c r="A53" s="114" t="str">
        <f>$A$13</f>
        <v>60.0% – 69.9%</v>
      </c>
      <c r="B53" s="33">
        <v>1</v>
      </c>
      <c r="C53" s="8">
        <v>0</v>
      </c>
      <c r="D53" s="8">
        <v>2</v>
      </c>
      <c r="E53" s="152">
        <v>3.9E-2</v>
      </c>
      <c r="F53" s="34">
        <f t="shared" si="11"/>
        <v>5.0696909222371733E-8</v>
      </c>
      <c r="G53" s="47">
        <v>0</v>
      </c>
      <c r="H53" s="48">
        <v>0</v>
      </c>
      <c r="I53" s="48">
        <v>0</v>
      </c>
      <c r="J53" s="162">
        <v>0</v>
      </c>
      <c r="K53" s="50">
        <f t="shared" si="12"/>
        <v>0</v>
      </c>
      <c r="L53" s="128">
        <v>1</v>
      </c>
      <c r="M53" s="129">
        <v>623</v>
      </c>
      <c r="N53" s="129">
        <v>244</v>
      </c>
      <c r="O53" s="169">
        <v>178.2</v>
      </c>
      <c r="P53" s="131">
        <f t="shared" si="13"/>
        <v>2.531314918879063E-4</v>
      </c>
      <c r="Q53" s="128">
        <v>0</v>
      </c>
      <c r="R53" s="129">
        <v>0</v>
      </c>
      <c r="S53" s="129">
        <v>0</v>
      </c>
      <c r="T53" s="169">
        <v>0</v>
      </c>
      <c r="U53" s="131">
        <f t="shared" si="14"/>
        <v>0</v>
      </c>
      <c r="V53" s="128">
        <v>0</v>
      </c>
      <c r="W53" s="129">
        <v>0</v>
      </c>
      <c r="X53" s="129">
        <v>0</v>
      </c>
      <c r="Y53" s="169">
        <v>0</v>
      </c>
      <c r="Z53" s="131">
        <f t="shared" si="15"/>
        <v>0</v>
      </c>
    </row>
    <row r="54" spans="1:26" x14ac:dyDescent="0.2">
      <c r="A54" s="114" t="str">
        <f>$A$14</f>
        <v>70.0% – 79.9%</v>
      </c>
      <c r="B54" s="33">
        <v>2</v>
      </c>
      <c r="C54" s="8">
        <v>302</v>
      </c>
      <c r="D54" s="8">
        <v>133</v>
      </c>
      <c r="E54" s="152">
        <v>69.978999999999999</v>
      </c>
      <c r="F54" s="34">
        <f t="shared" ref="F54:F59" si="16">E54/E$76</f>
        <v>9.0967154114675677E-5</v>
      </c>
      <c r="G54" s="47">
        <v>8</v>
      </c>
      <c r="H54" s="48">
        <v>1480</v>
      </c>
      <c r="I54" s="48">
        <v>963</v>
      </c>
      <c r="J54" s="162">
        <v>549.875</v>
      </c>
      <c r="K54" s="50">
        <f t="shared" si="12"/>
        <v>7.5038780669589794E-4</v>
      </c>
      <c r="L54" s="128">
        <v>9</v>
      </c>
      <c r="M54" s="129">
        <v>1225</v>
      </c>
      <c r="N54" s="129">
        <v>1056</v>
      </c>
      <c r="O54" s="169">
        <v>465.78699999999998</v>
      </c>
      <c r="P54" s="131">
        <f t="shared" si="13"/>
        <v>6.6164623014585984E-4</v>
      </c>
      <c r="Q54" s="128">
        <v>7</v>
      </c>
      <c r="R54" s="129">
        <v>12446</v>
      </c>
      <c r="S54" s="129">
        <v>5572</v>
      </c>
      <c r="T54" s="169">
        <v>4379.0209999999997</v>
      </c>
      <c r="U54" s="131">
        <f t="shared" si="14"/>
        <v>6.4517873847192934E-3</v>
      </c>
      <c r="V54" s="128">
        <v>5</v>
      </c>
      <c r="W54" s="129">
        <v>1064</v>
      </c>
      <c r="X54" s="129">
        <v>492</v>
      </c>
      <c r="Y54" s="169">
        <v>277.89600000000002</v>
      </c>
      <c r="Z54" s="131">
        <f t="shared" si="15"/>
        <v>4.5064802497117031E-4</v>
      </c>
    </row>
    <row r="55" spans="1:26" x14ac:dyDescent="0.2">
      <c r="A55" s="114" t="str">
        <f>$A$15</f>
        <v>80.0% – 89.9%</v>
      </c>
      <c r="B55" s="33">
        <v>17</v>
      </c>
      <c r="C55" s="8">
        <v>3026</v>
      </c>
      <c r="D55" s="8">
        <v>1562</v>
      </c>
      <c r="E55" s="152">
        <v>1904.0129999999999</v>
      </c>
      <c r="F55" s="34">
        <f t="shared" si="16"/>
        <v>2.4750660056209145E-3</v>
      </c>
      <c r="G55" s="47">
        <v>23</v>
      </c>
      <c r="H55" s="48">
        <v>23065</v>
      </c>
      <c r="I55" s="48">
        <v>10265</v>
      </c>
      <c r="J55" s="162">
        <v>6892.4979999999996</v>
      </c>
      <c r="K55" s="50">
        <f t="shared" si="12"/>
        <v>9.4058585258028887E-3</v>
      </c>
      <c r="L55" s="128">
        <v>21</v>
      </c>
      <c r="M55" s="129">
        <v>5386</v>
      </c>
      <c r="N55" s="129">
        <v>2328</v>
      </c>
      <c r="O55" s="169">
        <v>1678.367</v>
      </c>
      <c r="P55" s="131">
        <f t="shared" si="13"/>
        <v>2.3841051775837802E-3</v>
      </c>
      <c r="Q55" s="128">
        <v>21</v>
      </c>
      <c r="R55" s="129">
        <v>19664</v>
      </c>
      <c r="S55" s="129">
        <v>7121</v>
      </c>
      <c r="T55" s="169">
        <v>3724.4569999999999</v>
      </c>
      <c r="U55" s="131">
        <f t="shared" si="14"/>
        <v>5.4873919735779902E-3</v>
      </c>
      <c r="V55" s="128">
        <v>35</v>
      </c>
      <c r="W55" s="129">
        <v>52412</v>
      </c>
      <c r="X55" s="129">
        <v>19111</v>
      </c>
      <c r="Y55" s="169">
        <v>10780.385</v>
      </c>
      <c r="Z55" s="131">
        <f t="shared" si="15"/>
        <v>1.7481932840626817E-2</v>
      </c>
    </row>
    <row r="56" spans="1:26" x14ac:dyDescent="0.2">
      <c r="A56" s="114" t="str">
        <f>$A$16</f>
        <v>90.0% – 99.9%</v>
      </c>
      <c r="B56" s="33">
        <v>72</v>
      </c>
      <c r="C56" s="8">
        <v>120486</v>
      </c>
      <c r="D56" s="8">
        <v>48617</v>
      </c>
      <c r="E56" s="152">
        <v>39440.171999999999</v>
      </c>
      <c r="F56" s="34">
        <f t="shared" si="16"/>
        <v>5.1269097938428904E-2</v>
      </c>
      <c r="G56" s="47">
        <v>150</v>
      </c>
      <c r="H56" s="48">
        <v>565616</v>
      </c>
      <c r="I56" s="48">
        <v>210110</v>
      </c>
      <c r="J56" s="162">
        <v>165418.11900000001</v>
      </c>
      <c r="K56" s="50">
        <f t="shared" si="12"/>
        <v>0.22573810321285939</v>
      </c>
      <c r="L56" s="128">
        <v>191</v>
      </c>
      <c r="M56" s="129">
        <v>657916</v>
      </c>
      <c r="N56" s="129">
        <v>239259</v>
      </c>
      <c r="O56" s="169">
        <v>185651.18</v>
      </c>
      <c r="P56" s="131">
        <f t="shared" si="13"/>
        <v>0.26371582583698222</v>
      </c>
      <c r="Q56" s="128">
        <v>102</v>
      </c>
      <c r="R56" s="129">
        <v>288720</v>
      </c>
      <c r="S56" s="129">
        <v>94355</v>
      </c>
      <c r="T56" s="169">
        <v>73450.218999999997</v>
      </c>
      <c r="U56" s="131">
        <f t="shared" si="14"/>
        <v>0.1082171554667286</v>
      </c>
      <c r="V56" s="128">
        <v>202</v>
      </c>
      <c r="W56" s="129">
        <v>475471</v>
      </c>
      <c r="X56" s="129">
        <v>200850</v>
      </c>
      <c r="Y56" s="169">
        <v>179342.38500000001</v>
      </c>
      <c r="Z56" s="131">
        <f t="shared" si="15"/>
        <v>0.29082927279942583</v>
      </c>
    </row>
    <row r="57" spans="1:26" x14ac:dyDescent="0.2">
      <c r="A57" s="114" t="str">
        <f>$A$17</f>
        <v>100.0% – 109.9%</v>
      </c>
      <c r="B57" s="33">
        <v>463</v>
      </c>
      <c r="C57" s="8">
        <v>2232194</v>
      </c>
      <c r="D57" s="8">
        <v>361464</v>
      </c>
      <c r="E57" s="152">
        <v>407701.83600000001</v>
      </c>
      <c r="F57" s="34">
        <f t="shared" si="16"/>
        <v>0.52998007614067411</v>
      </c>
      <c r="G57" s="47">
        <v>579</v>
      </c>
      <c r="H57" s="48">
        <v>2152291</v>
      </c>
      <c r="I57" s="48">
        <v>269684</v>
      </c>
      <c r="J57" s="162">
        <v>349582.21299999999</v>
      </c>
      <c r="K57" s="50">
        <f t="shared" si="12"/>
        <v>0.47705793148073328</v>
      </c>
      <c r="L57" s="128">
        <v>601</v>
      </c>
      <c r="M57" s="129">
        <v>2143782</v>
      </c>
      <c r="N57" s="129">
        <v>261318</v>
      </c>
      <c r="O57" s="169">
        <v>321759.26699999999</v>
      </c>
      <c r="P57" s="131">
        <f t="shared" si="13"/>
        <v>0.45705613515414806</v>
      </c>
      <c r="Q57" s="128">
        <v>570</v>
      </c>
      <c r="R57" s="129">
        <v>2004175</v>
      </c>
      <c r="S57" s="129">
        <v>285018</v>
      </c>
      <c r="T57" s="169">
        <v>323516.12800000003</v>
      </c>
      <c r="U57" s="131">
        <f t="shared" si="14"/>
        <v>0.4766492952154448</v>
      </c>
      <c r="V57" s="128">
        <v>690</v>
      </c>
      <c r="W57" s="129">
        <v>2149500</v>
      </c>
      <c r="X57" s="129">
        <v>340869</v>
      </c>
      <c r="Y57" s="169">
        <v>251425.65100000001</v>
      </c>
      <c r="Z57" s="131">
        <f t="shared" si="15"/>
        <v>0.4077225762524137</v>
      </c>
    </row>
    <row r="58" spans="1:26" x14ac:dyDescent="0.2">
      <c r="A58" s="114" t="str">
        <f>$A$18</f>
        <v>110.0% – 119.9%</v>
      </c>
      <c r="B58" s="33">
        <v>517</v>
      </c>
      <c r="C58" s="8">
        <v>1189166</v>
      </c>
      <c r="D58" s="8">
        <v>237055</v>
      </c>
      <c r="E58" s="152">
        <v>231134.31099999999</v>
      </c>
      <c r="F58" s="34">
        <f t="shared" si="16"/>
        <v>0.30045628674211372</v>
      </c>
      <c r="G58" s="47">
        <v>473</v>
      </c>
      <c r="H58" s="48">
        <v>833899</v>
      </c>
      <c r="I58" s="48">
        <v>191936</v>
      </c>
      <c r="J58" s="162">
        <v>163165.50099999999</v>
      </c>
      <c r="K58" s="50">
        <f t="shared" si="12"/>
        <v>0.22266406442160008</v>
      </c>
      <c r="L58" s="128">
        <v>453</v>
      </c>
      <c r="M58" s="129">
        <v>770950</v>
      </c>
      <c r="N58" s="129">
        <v>178382</v>
      </c>
      <c r="O58" s="169">
        <v>149933.22200000001</v>
      </c>
      <c r="P58" s="131">
        <f t="shared" si="13"/>
        <v>0.21297878882390942</v>
      </c>
      <c r="Q58" s="128">
        <v>547</v>
      </c>
      <c r="R58" s="129">
        <v>1009545</v>
      </c>
      <c r="S58" s="129">
        <v>189809</v>
      </c>
      <c r="T58" s="169">
        <v>166062.804</v>
      </c>
      <c r="U58" s="131">
        <f t="shared" si="14"/>
        <v>0.24466699381398552</v>
      </c>
      <c r="V58" s="128">
        <v>509</v>
      </c>
      <c r="W58" s="129">
        <v>719169</v>
      </c>
      <c r="X58" s="129">
        <v>142645</v>
      </c>
      <c r="Y58" s="169">
        <v>121442.83</v>
      </c>
      <c r="Z58" s="131">
        <f t="shared" si="15"/>
        <v>0.19693688101451476</v>
      </c>
    </row>
    <row r="59" spans="1:26" ht="12.75" customHeight="1" x14ac:dyDescent="0.2">
      <c r="A59" s="114" t="str">
        <f>$A$19</f>
        <v>120.0% oder höher</v>
      </c>
      <c r="B59" s="33">
        <v>542</v>
      </c>
      <c r="C59" s="8">
        <v>305015</v>
      </c>
      <c r="D59" s="8">
        <v>112373</v>
      </c>
      <c r="E59" s="152">
        <v>88988.335000000006</v>
      </c>
      <c r="F59" s="34">
        <f t="shared" si="16"/>
        <v>0.1156777831114104</v>
      </c>
      <c r="G59" s="47">
        <v>406</v>
      </c>
      <c r="H59" s="48">
        <v>151653</v>
      </c>
      <c r="I59" s="48">
        <v>55663</v>
      </c>
      <c r="J59" s="162">
        <v>47141.836000000003</v>
      </c>
      <c r="K59" s="50">
        <f t="shared" si="12"/>
        <v>6.4332182622701031E-2</v>
      </c>
      <c r="L59" s="128">
        <v>420</v>
      </c>
      <c r="M59" s="129">
        <v>149736</v>
      </c>
      <c r="N59" s="129">
        <v>52049</v>
      </c>
      <c r="O59" s="169">
        <v>44262.591999999997</v>
      </c>
      <c r="P59" s="131">
        <f t="shared" si="13"/>
        <v>6.2874612501603297E-2</v>
      </c>
      <c r="Q59" s="128">
        <v>535</v>
      </c>
      <c r="R59" s="129">
        <v>329770</v>
      </c>
      <c r="S59" s="129">
        <v>132840</v>
      </c>
      <c r="T59" s="169">
        <v>107461.011</v>
      </c>
      <c r="U59" s="131">
        <f t="shared" si="14"/>
        <v>0.15832662029229391</v>
      </c>
      <c r="V59" s="128">
        <v>402</v>
      </c>
      <c r="W59" s="129">
        <v>177009</v>
      </c>
      <c r="X59" s="129">
        <v>79511</v>
      </c>
      <c r="Y59" s="169">
        <v>53344.254000000001</v>
      </c>
      <c r="Z59" s="131">
        <f t="shared" si="15"/>
        <v>8.6505321086523201E-2</v>
      </c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Z76" si="17">SUM(B$52:B$75)</f>
        <v>1616</v>
      </c>
      <c r="C76" s="9">
        <f t="shared" si="17"/>
        <v>3850189</v>
      </c>
      <c r="D76" s="9">
        <f t="shared" si="17"/>
        <v>761307</v>
      </c>
      <c r="E76" s="153">
        <f t="shared" si="17"/>
        <v>769277.66599999997</v>
      </c>
      <c r="F76" s="67">
        <f t="shared" si="17"/>
        <v>1</v>
      </c>
      <c r="G76" s="51">
        <f t="shared" si="17"/>
        <v>1643</v>
      </c>
      <c r="H76" s="68">
        <f t="shared" si="17"/>
        <v>3728054</v>
      </c>
      <c r="I76" s="68">
        <f t="shared" si="17"/>
        <v>738727</v>
      </c>
      <c r="J76" s="163">
        <f t="shared" si="17"/>
        <v>732787.75999999989</v>
      </c>
      <c r="K76" s="69">
        <f t="shared" si="17"/>
        <v>1</v>
      </c>
      <c r="L76" s="132">
        <f t="shared" si="17"/>
        <v>1705</v>
      </c>
      <c r="M76" s="133">
        <f t="shared" si="17"/>
        <v>3729812</v>
      </c>
      <c r="N76" s="133">
        <f t="shared" si="17"/>
        <v>734767</v>
      </c>
      <c r="O76" s="170">
        <f t="shared" si="17"/>
        <v>703981.94499999995</v>
      </c>
      <c r="P76" s="135">
        <f t="shared" si="17"/>
        <v>1</v>
      </c>
      <c r="Q76" s="132">
        <f t="shared" si="17"/>
        <v>1802</v>
      </c>
      <c r="R76" s="133">
        <f t="shared" si="17"/>
        <v>3664657</v>
      </c>
      <c r="S76" s="133">
        <f t="shared" si="17"/>
        <v>714906</v>
      </c>
      <c r="T76" s="170">
        <f t="shared" si="17"/>
        <v>678729.89899999998</v>
      </c>
      <c r="U76" s="135">
        <f t="shared" si="17"/>
        <v>1</v>
      </c>
      <c r="V76" s="132">
        <f t="shared" si="17"/>
        <v>1847</v>
      </c>
      <c r="W76" s="133">
        <f t="shared" si="17"/>
        <v>3574632</v>
      </c>
      <c r="X76" s="133">
        <f t="shared" si="17"/>
        <v>783627</v>
      </c>
      <c r="Y76" s="170">
        <f t="shared" si="17"/>
        <v>616658.64399999997</v>
      </c>
      <c r="Z76" s="135">
        <f t="shared" si="17"/>
        <v>1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ht="12.75" customHeight="1" x14ac:dyDescent="0.2">
      <c r="A92" s="114" t="str">
        <f>$A$12</f>
        <v>unter 60.0%</v>
      </c>
      <c r="B92" s="36">
        <v>3</v>
      </c>
      <c r="C92" s="10">
        <v>50315</v>
      </c>
      <c r="D92" s="10">
        <v>25599</v>
      </c>
      <c r="E92" s="154">
        <v>21934.371999999999</v>
      </c>
      <c r="F92" s="37">
        <f t="shared" ref="F92:F93" si="18">E92/E$116</f>
        <v>0.16367698567116393</v>
      </c>
      <c r="G92" s="53">
        <v>5</v>
      </c>
      <c r="H92" s="54">
        <v>75730</v>
      </c>
      <c r="I92" s="54">
        <v>37553</v>
      </c>
      <c r="J92" s="164">
        <v>30539.423999999999</v>
      </c>
      <c r="K92" s="56">
        <f t="shared" ref="K92:K99" si="19">J92/J$116</f>
        <v>0.23994384736662436</v>
      </c>
      <c r="L92" s="136">
        <v>5</v>
      </c>
      <c r="M92" s="137">
        <v>74458</v>
      </c>
      <c r="N92" s="137">
        <v>36860</v>
      </c>
      <c r="O92" s="171">
        <v>28228.998</v>
      </c>
      <c r="P92" s="139">
        <f t="shared" ref="P92:P99" si="20">O92/O$116</f>
        <v>0.23672510959910448</v>
      </c>
      <c r="Q92" s="136">
        <v>5</v>
      </c>
      <c r="R92" s="137">
        <v>65968</v>
      </c>
      <c r="S92" s="137">
        <v>32101</v>
      </c>
      <c r="T92" s="171">
        <v>24736.976999999999</v>
      </c>
      <c r="U92" s="139">
        <f t="shared" ref="U92:U99" si="21">T92/T$116</f>
        <v>0.19742024484442738</v>
      </c>
      <c r="V92" s="136">
        <v>8</v>
      </c>
      <c r="W92" s="137">
        <v>62521</v>
      </c>
      <c r="X92" s="137">
        <v>32621</v>
      </c>
      <c r="Y92" s="171">
        <v>24291.476999999999</v>
      </c>
      <c r="Z92" s="139">
        <f t="shared" ref="Z92:Z99" si="22">Y92/Y$116</f>
        <v>0.18860400149566534</v>
      </c>
    </row>
    <row r="93" spans="1:26" ht="12.75" customHeight="1" x14ac:dyDescent="0.2">
      <c r="A93" s="114" t="str">
        <f>$A$13</f>
        <v>60.0% – 69.9%</v>
      </c>
      <c r="B93" s="36">
        <v>8</v>
      </c>
      <c r="C93" s="10">
        <v>118571</v>
      </c>
      <c r="D93" s="10">
        <v>55508</v>
      </c>
      <c r="E93" s="154">
        <v>46060.93</v>
      </c>
      <c r="F93" s="37">
        <f t="shared" si="18"/>
        <v>0.34371233330092532</v>
      </c>
      <c r="G93" s="53">
        <v>6</v>
      </c>
      <c r="H93" s="54">
        <v>90724</v>
      </c>
      <c r="I93" s="54">
        <v>40406</v>
      </c>
      <c r="J93" s="164">
        <v>34115.726000000002</v>
      </c>
      <c r="K93" s="56">
        <f t="shared" si="19"/>
        <v>0.26804233610121719</v>
      </c>
      <c r="L93" s="136">
        <v>5</v>
      </c>
      <c r="M93" s="137">
        <v>81894</v>
      </c>
      <c r="N93" s="137">
        <v>36186</v>
      </c>
      <c r="O93" s="171">
        <v>31133.173999999999</v>
      </c>
      <c r="P93" s="139">
        <f t="shared" si="20"/>
        <v>0.26107919336414243</v>
      </c>
      <c r="Q93" s="136">
        <v>7</v>
      </c>
      <c r="R93" s="137">
        <v>60379</v>
      </c>
      <c r="S93" s="137">
        <v>25950</v>
      </c>
      <c r="T93" s="171">
        <v>19759.547999999999</v>
      </c>
      <c r="U93" s="139">
        <f t="shared" si="21"/>
        <v>0.15769650447486835</v>
      </c>
      <c r="V93" s="136">
        <v>7</v>
      </c>
      <c r="W93" s="137">
        <v>94515</v>
      </c>
      <c r="X93" s="137">
        <v>41230</v>
      </c>
      <c r="Y93" s="171">
        <v>32915.591</v>
      </c>
      <c r="Z93" s="139">
        <f t="shared" si="22"/>
        <v>0.25556338851666816</v>
      </c>
    </row>
    <row r="94" spans="1:26" x14ac:dyDescent="0.2">
      <c r="A94" s="114" t="str">
        <f>$A$14</f>
        <v>70.0% – 79.9%</v>
      </c>
      <c r="B94" s="36">
        <v>2</v>
      </c>
      <c r="C94" s="10">
        <v>11929</v>
      </c>
      <c r="D94" s="10">
        <v>6073</v>
      </c>
      <c r="E94" s="154">
        <v>5311.1440000000002</v>
      </c>
      <c r="F94" s="37">
        <f t="shared" ref="F94:F99" si="23">E94/E$116</f>
        <v>3.9632410738063908E-2</v>
      </c>
      <c r="G94" s="53">
        <v>5</v>
      </c>
      <c r="H94" s="54">
        <v>12551</v>
      </c>
      <c r="I94" s="54">
        <v>6200</v>
      </c>
      <c r="J94" s="164">
        <v>5301.2420000000002</v>
      </c>
      <c r="K94" s="56">
        <f t="shared" si="19"/>
        <v>4.1651093396572851E-2</v>
      </c>
      <c r="L94" s="136">
        <v>3</v>
      </c>
      <c r="M94" s="137">
        <v>11819</v>
      </c>
      <c r="N94" s="137">
        <v>5609</v>
      </c>
      <c r="O94" s="171">
        <v>4940.3</v>
      </c>
      <c r="P94" s="139">
        <f t="shared" si="20"/>
        <v>4.1428783938858051E-2</v>
      </c>
      <c r="Q94" s="136">
        <v>3</v>
      </c>
      <c r="R94" s="137">
        <v>45505</v>
      </c>
      <c r="S94" s="137">
        <v>21384</v>
      </c>
      <c r="T94" s="171">
        <v>19098.974999999999</v>
      </c>
      <c r="U94" s="139">
        <f t="shared" si="21"/>
        <v>0.15242462006483642</v>
      </c>
      <c r="V94" s="136">
        <v>8</v>
      </c>
      <c r="W94" s="137">
        <v>74039</v>
      </c>
      <c r="X94" s="137">
        <v>30344</v>
      </c>
      <c r="Y94" s="171">
        <v>26842.308000000001</v>
      </c>
      <c r="Z94" s="139">
        <f t="shared" si="22"/>
        <v>0.20840917570302991</v>
      </c>
    </row>
    <row r="95" spans="1:26" x14ac:dyDescent="0.2">
      <c r="A95" s="114" t="str">
        <f>$A$15</f>
        <v>80.0% – 89.9%</v>
      </c>
      <c r="B95" s="36">
        <v>5</v>
      </c>
      <c r="C95" s="10">
        <v>14667</v>
      </c>
      <c r="D95" s="10">
        <v>8936</v>
      </c>
      <c r="E95" s="154">
        <v>7303.3530000000001</v>
      </c>
      <c r="F95" s="37">
        <f t="shared" si="23"/>
        <v>5.4498519690121608E-2</v>
      </c>
      <c r="G95" s="53">
        <v>6</v>
      </c>
      <c r="H95" s="54">
        <v>33556</v>
      </c>
      <c r="I95" s="54">
        <v>17967</v>
      </c>
      <c r="J95" s="164">
        <v>15014.234</v>
      </c>
      <c r="K95" s="56">
        <f t="shared" si="19"/>
        <v>0.11796466990414692</v>
      </c>
      <c r="L95" s="136">
        <v>8</v>
      </c>
      <c r="M95" s="137">
        <v>34713</v>
      </c>
      <c r="N95" s="137">
        <v>22380</v>
      </c>
      <c r="O95" s="171">
        <v>16538.483</v>
      </c>
      <c r="P95" s="139">
        <f t="shared" si="20"/>
        <v>0.1386898040368959</v>
      </c>
      <c r="Q95" s="136">
        <v>8</v>
      </c>
      <c r="R95" s="137">
        <v>60849</v>
      </c>
      <c r="S95" s="137">
        <v>26470</v>
      </c>
      <c r="T95" s="171">
        <v>25057.473000000002</v>
      </c>
      <c r="U95" s="139">
        <f t="shared" si="21"/>
        <v>0.19997805127290327</v>
      </c>
      <c r="V95" s="136">
        <v>11</v>
      </c>
      <c r="W95" s="137">
        <v>80713</v>
      </c>
      <c r="X95" s="137">
        <v>39038</v>
      </c>
      <c r="Y95" s="171">
        <v>30580.116000000002</v>
      </c>
      <c r="Z95" s="139">
        <f t="shared" si="22"/>
        <v>0.23743028239088221</v>
      </c>
    </row>
    <row r="96" spans="1:26" x14ac:dyDescent="0.2">
      <c r="A96" s="114" t="str">
        <f>$A$16</f>
        <v>90.0% – 99.9%</v>
      </c>
      <c r="B96" s="36">
        <v>12</v>
      </c>
      <c r="C96" s="10">
        <v>114123</v>
      </c>
      <c r="D96" s="10">
        <v>53602</v>
      </c>
      <c r="E96" s="154">
        <v>47634.315999999999</v>
      </c>
      <c r="F96" s="37">
        <f t="shared" si="23"/>
        <v>0.3554531334376792</v>
      </c>
      <c r="G96" s="53">
        <v>11</v>
      </c>
      <c r="H96" s="54">
        <v>94804</v>
      </c>
      <c r="I96" s="54">
        <v>42338</v>
      </c>
      <c r="J96" s="164">
        <v>37230.701999999997</v>
      </c>
      <c r="K96" s="56">
        <f t="shared" si="19"/>
        <v>0.29251625302560635</v>
      </c>
      <c r="L96" s="136">
        <v>12</v>
      </c>
      <c r="M96" s="137">
        <v>75758</v>
      </c>
      <c r="N96" s="137">
        <v>30431</v>
      </c>
      <c r="O96" s="171">
        <v>26264.736000000001</v>
      </c>
      <c r="P96" s="139">
        <f t="shared" si="20"/>
        <v>0.22025303583894637</v>
      </c>
      <c r="Q96" s="136">
        <v>11</v>
      </c>
      <c r="R96" s="137">
        <v>65257</v>
      </c>
      <c r="S96" s="137">
        <v>33859</v>
      </c>
      <c r="T96" s="171">
        <v>24071.136999999999</v>
      </c>
      <c r="U96" s="139">
        <f t="shared" si="21"/>
        <v>0.19210632569306085</v>
      </c>
      <c r="V96" s="136">
        <v>16</v>
      </c>
      <c r="W96" s="137">
        <v>31133</v>
      </c>
      <c r="X96" s="137">
        <v>10982</v>
      </c>
      <c r="Y96" s="171">
        <v>9530.0990000000002</v>
      </c>
      <c r="Z96" s="139">
        <f t="shared" si="22"/>
        <v>7.3993640075893236E-2</v>
      </c>
    </row>
    <row r="97" spans="1:26" x14ac:dyDescent="0.2">
      <c r="A97" s="114" t="str">
        <f>$A$17</f>
        <v>100.0% – 109.9%</v>
      </c>
      <c r="B97" s="36">
        <v>5</v>
      </c>
      <c r="C97" s="10">
        <v>12267</v>
      </c>
      <c r="D97" s="10">
        <v>4133</v>
      </c>
      <c r="E97" s="154">
        <v>4240.1400000000003</v>
      </c>
      <c r="F97" s="37">
        <f t="shared" si="23"/>
        <v>3.1640446967149502E-2</v>
      </c>
      <c r="G97" s="53">
        <v>5</v>
      </c>
      <c r="H97" s="54">
        <v>14664</v>
      </c>
      <c r="I97" s="54">
        <v>5609</v>
      </c>
      <c r="J97" s="164">
        <v>5017.1890000000003</v>
      </c>
      <c r="K97" s="56">
        <f t="shared" si="19"/>
        <v>3.9419329965932129E-2</v>
      </c>
      <c r="L97" s="136">
        <v>4</v>
      </c>
      <c r="M97" s="137">
        <v>29690</v>
      </c>
      <c r="N97" s="137">
        <v>12342</v>
      </c>
      <c r="O97" s="171">
        <v>12084.593999999999</v>
      </c>
      <c r="P97" s="139">
        <f t="shared" si="20"/>
        <v>0.10134000643985594</v>
      </c>
      <c r="Q97" s="136">
        <v>7</v>
      </c>
      <c r="R97" s="137">
        <v>40941</v>
      </c>
      <c r="S97" s="137">
        <v>13908</v>
      </c>
      <c r="T97" s="171">
        <v>12387.843000000001</v>
      </c>
      <c r="U97" s="139">
        <f t="shared" si="21"/>
        <v>9.8864586329781776E-2</v>
      </c>
      <c r="V97" s="136">
        <v>7</v>
      </c>
      <c r="W97" s="137">
        <v>14762</v>
      </c>
      <c r="X97" s="137">
        <v>5290</v>
      </c>
      <c r="Y97" s="171">
        <v>4511.91</v>
      </c>
      <c r="Z97" s="139">
        <f t="shared" si="22"/>
        <v>3.5031393125593287E-2</v>
      </c>
    </row>
    <row r="98" spans="1:26" x14ac:dyDescent="0.2">
      <c r="A98" s="114" t="str">
        <f>$A$18</f>
        <v>110.0% – 119.9%</v>
      </c>
      <c r="B98" s="36">
        <v>3</v>
      </c>
      <c r="C98" s="10">
        <v>3851</v>
      </c>
      <c r="D98" s="10">
        <v>2333</v>
      </c>
      <c r="E98" s="154">
        <v>1525.8620000000001</v>
      </c>
      <c r="F98" s="37">
        <f t="shared" si="23"/>
        <v>1.1386170194896555E-2</v>
      </c>
      <c r="G98" s="53">
        <v>1</v>
      </c>
      <c r="H98" s="54">
        <v>11</v>
      </c>
      <c r="I98" s="54">
        <v>25</v>
      </c>
      <c r="J98" s="164">
        <v>58.862000000000002</v>
      </c>
      <c r="K98" s="56">
        <f t="shared" si="19"/>
        <v>4.6247023990021041E-4</v>
      </c>
      <c r="L98" s="136">
        <v>1</v>
      </c>
      <c r="M98" s="137">
        <v>11</v>
      </c>
      <c r="N98" s="137">
        <v>26</v>
      </c>
      <c r="O98" s="171">
        <v>57.723999999999997</v>
      </c>
      <c r="P98" s="139">
        <f t="shared" si="20"/>
        <v>4.8406678219675762E-4</v>
      </c>
      <c r="Q98" s="136">
        <v>2</v>
      </c>
      <c r="R98" s="137">
        <v>481</v>
      </c>
      <c r="S98" s="137">
        <v>240</v>
      </c>
      <c r="T98" s="171">
        <v>189.16300000000001</v>
      </c>
      <c r="U98" s="139">
        <f t="shared" si="21"/>
        <v>1.5096673201218734E-3</v>
      </c>
      <c r="V98" s="136">
        <v>1</v>
      </c>
      <c r="W98" s="137">
        <v>433</v>
      </c>
      <c r="X98" s="137">
        <v>200</v>
      </c>
      <c r="Y98" s="171">
        <v>124.69</v>
      </c>
      <c r="Z98" s="139">
        <f t="shared" si="22"/>
        <v>9.681186922678481E-4</v>
      </c>
    </row>
    <row r="99" spans="1:26" ht="12.75" customHeight="1" x14ac:dyDescent="0.2">
      <c r="A99" s="114" t="str">
        <f>$A$19</f>
        <v>120.0% oder höher</v>
      </c>
      <c r="B99" s="36">
        <v>0</v>
      </c>
      <c r="C99" s="10">
        <v>0</v>
      </c>
      <c r="D99" s="10">
        <v>0</v>
      </c>
      <c r="E99" s="154">
        <v>0</v>
      </c>
      <c r="F99" s="37">
        <f t="shared" si="23"/>
        <v>0</v>
      </c>
      <c r="G99" s="53">
        <v>0</v>
      </c>
      <c r="H99" s="54">
        <v>0</v>
      </c>
      <c r="I99" s="54">
        <v>0</v>
      </c>
      <c r="J99" s="164">
        <v>0</v>
      </c>
      <c r="K99" s="56">
        <f t="shared" si="19"/>
        <v>0</v>
      </c>
      <c r="L99" s="136">
        <v>0</v>
      </c>
      <c r="M99" s="137">
        <v>0</v>
      </c>
      <c r="N99" s="137">
        <v>0</v>
      </c>
      <c r="O99" s="171">
        <v>0</v>
      </c>
      <c r="P99" s="139">
        <f t="shared" si="20"/>
        <v>0</v>
      </c>
      <c r="Q99" s="136">
        <v>0</v>
      </c>
      <c r="R99" s="137">
        <v>0</v>
      </c>
      <c r="S99" s="137">
        <v>0</v>
      </c>
      <c r="T99" s="171">
        <v>0</v>
      </c>
      <c r="U99" s="139">
        <f t="shared" si="21"/>
        <v>0</v>
      </c>
      <c r="V99" s="136">
        <v>0</v>
      </c>
      <c r="W99" s="137">
        <v>0</v>
      </c>
      <c r="X99" s="137">
        <v>0</v>
      </c>
      <c r="Y99" s="171">
        <v>0</v>
      </c>
      <c r="Z99" s="139">
        <f t="shared" si="22"/>
        <v>0</v>
      </c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Z116" si="24">SUM(B$92:B$115)</f>
        <v>38</v>
      </c>
      <c r="C116" s="11">
        <f t="shared" si="24"/>
        <v>325723</v>
      </c>
      <c r="D116" s="11">
        <f t="shared" si="24"/>
        <v>156184</v>
      </c>
      <c r="E116" s="155">
        <f t="shared" si="24"/>
        <v>134010.117</v>
      </c>
      <c r="F116" s="70">
        <f t="shared" si="24"/>
        <v>1.0000000000000002</v>
      </c>
      <c r="G116" s="57">
        <f t="shared" si="24"/>
        <v>39</v>
      </c>
      <c r="H116" s="71">
        <f t="shared" si="24"/>
        <v>322040</v>
      </c>
      <c r="I116" s="71">
        <f t="shared" si="24"/>
        <v>150098</v>
      </c>
      <c r="J116" s="165">
        <f t="shared" si="24"/>
        <v>127277.379</v>
      </c>
      <c r="K116" s="72">
        <f t="shared" si="24"/>
        <v>0.99999999999999989</v>
      </c>
      <c r="L116" s="140">
        <f t="shared" si="24"/>
        <v>38</v>
      </c>
      <c r="M116" s="141">
        <f t="shared" si="24"/>
        <v>308343</v>
      </c>
      <c r="N116" s="141">
        <f t="shared" si="24"/>
        <v>143834</v>
      </c>
      <c r="O116" s="172">
        <f t="shared" si="24"/>
        <v>119248.00900000001</v>
      </c>
      <c r="P116" s="143">
        <f t="shared" si="24"/>
        <v>1</v>
      </c>
      <c r="Q116" s="140">
        <f t="shared" si="24"/>
        <v>43</v>
      </c>
      <c r="R116" s="141">
        <f t="shared" si="24"/>
        <v>339380</v>
      </c>
      <c r="S116" s="141">
        <f t="shared" si="24"/>
        <v>153912</v>
      </c>
      <c r="T116" s="172">
        <f t="shared" si="24"/>
        <v>125301.11600000001</v>
      </c>
      <c r="U116" s="143">
        <f t="shared" si="24"/>
        <v>1</v>
      </c>
      <c r="V116" s="140">
        <f t="shared" si="24"/>
        <v>58</v>
      </c>
      <c r="W116" s="141">
        <f t="shared" si="24"/>
        <v>358116</v>
      </c>
      <c r="X116" s="141">
        <f t="shared" si="24"/>
        <v>159705</v>
      </c>
      <c r="Y116" s="172">
        <f t="shared" si="24"/>
        <v>128796.19100000001</v>
      </c>
      <c r="Z116" s="143">
        <f t="shared" si="24"/>
        <v>1.0000000000000002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8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Translation!$A$207</f>
        <v>Beitrags- und Leistungsprimat für Altersleistungen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Translation!$A208</f>
        <v>Beitragsprimat</v>
      </c>
      <c r="B12" s="30">
        <v>1477</v>
      </c>
      <c r="C12" s="6">
        <v>3876367</v>
      </c>
      <c r="D12" s="6">
        <v>754786</v>
      </c>
      <c r="E12" s="150">
        <v>766827.07700000005</v>
      </c>
      <c r="F12" s="31">
        <f t="shared" ref="F12:F17" si="0">E12/E$36</f>
        <v>0.84892887010296247</v>
      </c>
      <c r="G12" s="41">
        <v>1496</v>
      </c>
      <c r="H12" s="42">
        <v>3750046</v>
      </c>
      <c r="I12" s="42">
        <v>726310</v>
      </c>
      <c r="J12" s="160">
        <v>728017.92099999997</v>
      </c>
      <c r="K12" s="44">
        <f t="shared" ref="K12:K17" si="1">J12/J$36</f>
        <v>0.84646835220698313</v>
      </c>
      <c r="L12" s="76">
        <v>1538</v>
      </c>
      <c r="M12" s="122">
        <v>3694370</v>
      </c>
      <c r="N12" s="122">
        <v>691199</v>
      </c>
      <c r="O12" s="167">
        <v>677525.80599999998</v>
      </c>
      <c r="P12" s="124">
        <f t="shared" ref="P12:P17" si="2">O12/O$36</f>
        <v>0.82300917587845712</v>
      </c>
      <c r="Q12" s="76">
        <v>1617</v>
      </c>
      <c r="R12" s="122">
        <v>3555318</v>
      </c>
      <c r="S12" s="122">
        <v>642551</v>
      </c>
      <c r="T12" s="167">
        <v>627853.41800000006</v>
      </c>
      <c r="U12" s="124">
        <f t="shared" ref="U12:U17" si="3">T12/T$36</f>
        <v>0.78088208823635985</v>
      </c>
      <c r="V12" s="76">
        <v>1639</v>
      </c>
      <c r="W12" s="122">
        <v>3431900</v>
      </c>
      <c r="X12" s="122">
        <v>704716</v>
      </c>
      <c r="Y12" s="167">
        <v>559687.23399999994</v>
      </c>
      <c r="Z12" s="124">
        <f t="shared" ref="Z12:Z17" si="4">Y12/Y$36</f>
        <v>0.7507996564272067</v>
      </c>
    </row>
    <row r="13" spans="1:26" ht="12.75" customHeight="1" x14ac:dyDescent="0.2">
      <c r="A13" s="114" t="str">
        <f>Translation!$A209</f>
        <v>1e-Einrichtung</v>
      </c>
      <c r="B13" s="30">
        <v>14</v>
      </c>
      <c r="C13" s="6">
        <v>7668</v>
      </c>
      <c r="D13" s="6">
        <v>2</v>
      </c>
      <c r="E13" s="150">
        <v>2906.17</v>
      </c>
      <c r="F13" s="31">
        <f t="shared" si="0"/>
        <v>3.2173245943258816E-3</v>
      </c>
      <c r="G13" s="41">
        <v>13</v>
      </c>
      <c r="H13" s="42">
        <v>6246</v>
      </c>
      <c r="I13" s="42">
        <v>2</v>
      </c>
      <c r="J13" s="160">
        <v>2303.944</v>
      </c>
      <c r="K13" s="44">
        <f t="shared" si="1"/>
        <v>2.6788017506194956E-3</v>
      </c>
      <c r="L13" s="76">
        <v>8</v>
      </c>
      <c r="M13" s="122">
        <v>4097</v>
      </c>
      <c r="N13" s="122">
        <v>0</v>
      </c>
      <c r="O13" s="167">
        <v>1689.7</v>
      </c>
      <c r="P13" s="124">
        <f t="shared" si="2"/>
        <v>2.0525249254960912E-3</v>
      </c>
      <c r="Q13" s="76">
        <v>0</v>
      </c>
      <c r="R13" s="122">
        <v>0</v>
      </c>
      <c r="S13" s="122">
        <v>0</v>
      </c>
      <c r="T13" s="167">
        <v>0</v>
      </c>
      <c r="U13" s="124">
        <f t="shared" si="3"/>
        <v>0</v>
      </c>
      <c r="V13" s="76">
        <v>0</v>
      </c>
      <c r="W13" s="122">
        <v>0</v>
      </c>
      <c r="X13" s="122">
        <v>0</v>
      </c>
      <c r="Y13" s="167">
        <v>0</v>
      </c>
      <c r="Z13" s="124">
        <f t="shared" si="4"/>
        <v>0</v>
      </c>
    </row>
    <row r="14" spans="1:26" x14ac:dyDescent="0.2">
      <c r="A14" s="114" t="str">
        <f>Translation!$A210</f>
        <v>Mischform</v>
      </c>
      <c r="B14" s="30">
        <v>30</v>
      </c>
      <c r="C14" s="6">
        <v>43865</v>
      </c>
      <c r="D14" s="6">
        <v>29318</v>
      </c>
      <c r="E14" s="150">
        <v>24876.284</v>
      </c>
      <c r="F14" s="31">
        <f t="shared" si="0"/>
        <v>2.7539710453495635E-2</v>
      </c>
      <c r="G14" s="41">
        <v>35</v>
      </c>
      <c r="H14" s="42">
        <v>46550</v>
      </c>
      <c r="I14" s="42">
        <v>30366</v>
      </c>
      <c r="J14" s="160">
        <v>24980.77</v>
      </c>
      <c r="K14" s="44">
        <f t="shared" si="1"/>
        <v>2.9045207004954537E-2</v>
      </c>
      <c r="L14" s="76">
        <v>44</v>
      </c>
      <c r="M14" s="122">
        <v>61755</v>
      </c>
      <c r="N14" s="122">
        <v>37108</v>
      </c>
      <c r="O14" s="167">
        <v>29612.238999999998</v>
      </c>
      <c r="P14" s="124">
        <f t="shared" si="2"/>
        <v>3.5970798749628594E-2</v>
      </c>
      <c r="Q14" s="76">
        <v>47</v>
      </c>
      <c r="R14" s="122">
        <v>88788</v>
      </c>
      <c r="S14" s="122">
        <v>46925</v>
      </c>
      <c r="T14" s="167">
        <v>35473.014999999999</v>
      </c>
      <c r="U14" s="124">
        <f t="shared" si="3"/>
        <v>4.4118963495456694E-2</v>
      </c>
      <c r="V14" s="76">
        <v>48</v>
      </c>
      <c r="W14" s="122">
        <v>94836</v>
      </c>
      <c r="X14" s="122">
        <v>48103</v>
      </c>
      <c r="Y14" s="167">
        <v>36353.866999999998</v>
      </c>
      <c r="Z14" s="124">
        <f t="shared" si="4"/>
        <v>4.8767363619017921E-2</v>
      </c>
    </row>
    <row r="15" spans="1:26" x14ac:dyDescent="0.2">
      <c r="A15" s="114" t="str">
        <f>Translation!$A211</f>
        <v>Andere</v>
      </c>
      <c r="B15" s="30">
        <v>30</v>
      </c>
      <c r="C15" s="6">
        <v>2399</v>
      </c>
      <c r="D15" s="6">
        <v>122</v>
      </c>
      <c r="E15" s="150">
        <v>113.748</v>
      </c>
      <c r="F15" s="31">
        <f t="shared" si="0"/>
        <v>1.2592664501917658E-4</v>
      </c>
      <c r="G15" s="41">
        <v>28</v>
      </c>
      <c r="H15" s="42">
        <v>2150</v>
      </c>
      <c r="I15" s="42">
        <v>244</v>
      </c>
      <c r="J15" s="160">
        <v>148.21100000000001</v>
      </c>
      <c r="K15" s="44">
        <f t="shared" si="1"/>
        <v>1.7232531965232927E-4</v>
      </c>
      <c r="L15" s="76">
        <v>21</v>
      </c>
      <c r="M15" s="122">
        <v>8883</v>
      </c>
      <c r="N15" s="122">
        <v>2335</v>
      </c>
      <c r="O15" s="167">
        <v>2979.8530000000001</v>
      </c>
      <c r="P15" s="124">
        <f t="shared" si="2"/>
        <v>3.6197091535860233E-3</v>
      </c>
      <c r="Q15" s="76">
        <v>28</v>
      </c>
      <c r="R15" s="122">
        <v>10266</v>
      </c>
      <c r="S15" s="122">
        <v>2775</v>
      </c>
      <c r="T15" s="167">
        <v>3306.1089999999999</v>
      </c>
      <c r="U15" s="124">
        <f t="shared" si="3"/>
        <v>4.1119172498588243E-3</v>
      </c>
      <c r="V15" s="76">
        <v>44</v>
      </c>
      <c r="W15" s="122">
        <v>10679</v>
      </c>
      <c r="X15" s="122">
        <v>2850</v>
      </c>
      <c r="Y15" s="167">
        <v>1961.779</v>
      </c>
      <c r="Z15" s="124">
        <f t="shared" si="4"/>
        <v>2.6316537339247394E-3</v>
      </c>
    </row>
    <row r="16" spans="1:26" x14ac:dyDescent="0.2">
      <c r="A16" s="114" t="str">
        <f>Translation!$A212</f>
        <v>Leistungsprimat</v>
      </c>
      <c r="B16" s="30">
        <v>58</v>
      </c>
      <c r="C16" s="6">
        <v>245613</v>
      </c>
      <c r="D16" s="6">
        <v>122575</v>
      </c>
      <c r="E16" s="150">
        <v>104433.44099999999</v>
      </c>
      <c r="F16" s="31">
        <f t="shared" si="0"/>
        <v>0.11561480512130427</v>
      </c>
      <c r="G16" s="41">
        <v>64</v>
      </c>
      <c r="H16" s="42">
        <v>245102</v>
      </c>
      <c r="I16" s="42">
        <v>121995</v>
      </c>
      <c r="J16" s="160">
        <v>100832.55900000001</v>
      </c>
      <c r="K16" s="44">
        <f t="shared" si="1"/>
        <v>0.11723828164601378</v>
      </c>
      <c r="L16" s="76">
        <v>76</v>
      </c>
      <c r="M16" s="122">
        <v>269050</v>
      </c>
      <c r="N16" s="122">
        <v>137797</v>
      </c>
      <c r="O16" s="167">
        <v>107744.685</v>
      </c>
      <c r="P16" s="124">
        <f t="shared" si="2"/>
        <v>0.13088042347885706</v>
      </c>
      <c r="Q16" s="76">
        <v>96</v>
      </c>
      <c r="R16" s="122">
        <v>349665</v>
      </c>
      <c r="S16" s="122">
        <v>171436</v>
      </c>
      <c r="T16" s="167">
        <v>135464.37900000002</v>
      </c>
      <c r="U16" s="124">
        <f t="shared" si="3"/>
        <v>0.16848153426021756</v>
      </c>
      <c r="V16" s="76">
        <v>118</v>
      </c>
      <c r="W16" s="122">
        <v>395333</v>
      </c>
      <c r="X16" s="122">
        <v>183880</v>
      </c>
      <c r="Y16" s="167">
        <v>145723.77100000001</v>
      </c>
      <c r="Z16" s="124">
        <f t="shared" si="4"/>
        <v>0.19548303151055427</v>
      </c>
    </row>
    <row r="17" spans="1:26" ht="14.25" customHeight="1" x14ac:dyDescent="0.2">
      <c r="A17" s="114" t="str">
        <f>Translation!$A213</f>
        <v>Rentnerkasse</v>
      </c>
      <c r="B17" s="30">
        <v>45</v>
      </c>
      <c r="C17" s="6">
        <v>0</v>
      </c>
      <c r="D17" s="6">
        <v>10688</v>
      </c>
      <c r="E17" s="150">
        <v>4131.0630000000001</v>
      </c>
      <c r="F17" s="31">
        <f t="shared" si="0"/>
        <v>4.5733630828924867E-3</v>
      </c>
      <c r="G17" s="41">
        <v>46</v>
      </c>
      <c r="H17" s="42">
        <v>0</v>
      </c>
      <c r="I17" s="42">
        <v>9908</v>
      </c>
      <c r="J17" s="160">
        <v>3781.7339999999999</v>
      </c>
      <c r="K17" s="44">
        <f t="shared" si="1"/>
        <v>4.3970320717765998E-3</v>
      </c>
      <c r="L17" s="182">
        <v>56</v>
      </c>
      <c r="M17" s="122">
        <v>0</v>
      </c>
      <c r="N17" s="122">
        <v>10162</v>
      </c>
      <c r="O17" s="167">
        <v>3677.6709999999998</v>
      </c>
      <c r="P17" s="183">
        <f t="shared" si="2"/>
        <v>4.467367813975341E-3</v>
      </c>
      <c r="Q17" s="182">
        <v>57</v>
      </c>
      <c r="R17" s="122">
        <v>0</v>
      </c>
      <c r="S17" s="122">
        <v>5131</v>
      </c>
      <c r="T17" s="167">
        <v>1934.0940000000001</v>
      </c>
      <c r="U17" s="183">
        <f t="shared" si="3"/>
        <v>2.4054967581070238E-3</v>
      </c>
      <c r="V17" s="182">
        <v>56</v>
      </c>
      <c r="W17" s="122">
        <v>0</v>
      </c>
      <c r="X17" s="122">
        <v>3783</v>
      </c>
      <c r="Y17" s="167">
        <v>1728.184</v>
      </c>
      <c r="Z17" s="183">
        <f t="shared" si="4"/>
        <v>2.3182947092965068E-3</v>
      </c>
    </row>
    <row r="18" spans="1:26" ht="12.75" hidden="1" customHeight="1" x14ac:dyDescent="0.2">
      <c r="B18" s="30"/>
      <c r="C18" s="6"/>
      <c r="D18" s="6"/>
      <c r="E18" s="150"/>
      <c r="F18" s="31"/>
      <c r="G18" s="41"/>
      <c r="H18" s="42"/>
      <c r="I18" s="42"/>
      <c r="J18" s="160"/>
      <c r="K18" s="44"/>
      <c r="L18" s="76"/>
      <c r="M18" s="122"/>
      <c r="N18" s="122"/>
      <c r="O18" s="167"/>
      <c r="P18" s="124"/>
      <c r="Q18" s="76"/>
      <c r="R18" s="122"/>
      <c r="S18" s="122"/>
      <c r="T18" s="167"/>
      <c r="U18" s="124"/>
      <c r="V18" s="76"/>
      <c r="W18" s="122"/>
      <c r="X18" s="122"/>
      <c r="Y18" s="167"/>
      <c r="Z18" s="124"/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 t="shared" ref="B36:F36" si="5">SUM(B$12:B$35)</f>
        <v>1654</v>
      </c>
      <c r="C36" s="7">
        <f t="shared" si="5"/>
        <v>4175912</v>
      </c>
      <c r="D36" s="7">
        <f t="shared" si="5"/>
        <v>917491</v>
      </c>
      <c r="E36" s="151">
        <f t="shared" si="5"/>
        <v>903287.78300000005</v>
      </c>
      <c r="F36" s="64">
        <f t="shared" si="5"/>
        <v>1</v>
      </c>
      <c r="G36" s="45">
        <f t="shared" ref="G36:K36" si="6">SUM(G$12:G$35)</f>
        <v>1682</v>
      </c>
      <c r="H36" s="65">
        <f t="shared" si="6"/>
        <v>4050094</v>
      </c>
      <c r="I36" s="65">
        <f t="shared" si="6"/>
        <v>888825</v>
      </c>
      <c r="J36" s="161">
        <f t="shared" si="6"/>
        <v>860065.13900000008</v>
      </c>
      <c r="K36" s="66">
        <f t="shared" si="6"/>
        <v>0.99999999999999978</v>
      </c>
      <c r="L36" s="77">
        <f t="shared" ref="L36:Z36" si="7">SUM(L$12:L$35)</f>
        <v>1743</v>
      </c>
      <c r="M36" s="125">
        <f t="shared" si="7"/>
        <v>4038155</v>
      </c>
      <c r="N36" s="125">
        <f t="shared" si="7"/>
        <v>878601</v>
      </c>
      <c r="O36" s="168">
        <f t="shared" si="7"/>
        <v>823229.95399999979</v>
      </c>
      <c r="P36" s="127">
        <f t="shared" si="7"/>
        <v>1.0000000000000002</v>
      </c>
      <c r="Q36" s="77">
        <f t="shared" si="7"/>
        <v>1845</v>
      </c>
      <c r="R36" s="125">
        <f t="shared" si="7"/>
        <v>4004037</v>
      </c>
      <c r="S36" s="125">
        <f t="shared" si="7"/>
        <v>868818</v>
      </c>
      <c r="T36" s="168">
        <f t="shared" si="7"/>
        <v>804031.01500000013</v>
      </c>
      <c r="U36" s="127">
        <f t="shared" si="7"/>
        <v>0.99999999999999989</v>
      </c>
      <c r="V36" s="77">
        <f t="shared" si="7"/>
        <v>1905</v>
      </c>
      <c r="W36" s="125">
        <f t="shared" si="7"/>
        <v>3932748</v>
      </c>
      <c r="X36" s="125">
        <f t="shared" si="7"/>
        <v>943332</v>
      </c>
      <c r="Y36" s="168">
        <f t="shared" si="7"/>
        <v>745454.83499999985</v>
      </c>
      <c r="Z36" s="127">
        <f t="shared" si="7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Beitragsprimat</v>
      </c>
      <c r="B52" s="33">
        <v>1452</v>
      </c>
      <c r="C52" s="8">
        <v>3711152</v>
      </c>
      <c r="D52" s="8">
        <v>676809</v>
      </c>
      <c r="E52" s="152">
        <v>698806.89199999999</v>
      </c>
      <c r="F52" s="34">
        <f t="shared" ref="F52:F57" si="8">E52/E$76</f>
        <v>0.90839357865876214</v>
      </c>
      <c r="G52" s="47">
        <v>1471</v>
      </c>
      <c r="H52" s="48">
        <v>3585934</v>
      </c>
      <c r="I52" s="48">
        <v>651669</v>
      </c>
      <c r="J52" s="162">
        <v>663221.951</v>
      </c>
      <c r="K52" s="50">
        <f t="shared" ref="K52:K57" si="9">J52/J$76</f>
        <v>0.90506690641230125</v>
      </c>
      <c r="L52" s="128">
        <v>1517</v>
      </c>
      <c r="M52" s="129">
        <v>3563877</v>
      </c>
      <c r="N52" s="129">
        <v>636864</v>
      </c>
      <c r="O52" s="169">
        <v>628863.34</v>
      </c>
      <c r="P52" s="131">
        <f t="shared" ref="P52:P57" si="10">O52/O$76</f>
        <v>0.89329469948266926</v>
      </c>
      <c r="Q52" s="128">
        <v>1596</v>
      </c>
      <c r="R52" s="129">
        <v>3469590</v>
      </c>
      <c r="S52" s="129">
        <v>608314</v>
      </c>
      <c r="T52" s="169">
        <v>599377.60900000005</v>
      </c>
      <c r="U52" s="131">
        <f t="shared" ref="U52:U57" si="11">T52/T$76</f>
        <v>0.88308708645823175</v>
      </c>
      <c r="V52" s="128">
        <v>1616</v>
      </c>
      <c r="W52" s="129">
        <v>3362487</v>
      </c>
      <c r="X52" s="129">
        <v>676063</v>
      </c>
      <c r="Y52" s="169">
        <v>536275.75899999996</v>
      </c>
      <c r="Z52" s="131">
        <f t="shared" ref="Z52:Z57" si="12">Y52/Y$76</f>
        <v>0.86964767982722069</v>
      </c>
    </row>
    <row r="53" spans="1:26" ht="12.75" customHeight="1" x14ac:dyDescent="0.2">
      <c r="A53" s="114" t="str">
        <f>$A$13</f>
        <v>1e-Einrichtung</v>
      </c>
      <c r="B53" s="33">
        <v>14</v>
      </c>
      <c r="C53" s="8">
        <v>7668</v>
      </c>
      <c r="D53" s="8">
        <v>2</v>
      </c>
      <c r="E53" s="152">
        <v>2906.17</v>
      </c>
      <c r="F53" s="34">
        <f t="shared" si="8"/>
        <v>3.777790683968719E-3</v>
      </c>
      <c r="G53" s="47">
        <v>13</v>
      </c>
      <c r="H53" s="48">
        <v>6246</v>
      </c>
      <c r="I53" s="48">
        <v>2</v>
      </c>
      <c r="J53" s="162">
        <v>2303.944</v>
      </c>
      <c r="K53" s="50">
        <f t="shared" si="9"/>
        <v>3.1440809000412339E-3</v>
      </c>
      <c r="L53" s="128">
        <v>8</v>
      </c>
      <c r="M53" s="129">
        <v>4097</v>
      </c>
      <c r="N53" s="129">
        <v>0</v>
      </c>
      <c r="O53" s="169">
        <v>1689.7</v>
      </c>
      <c r="P53" s="131">
        <f t="shared" si="10"/>
        <v>2.4002036018125439E-3</v>
      </c>
      <c r="Q53" s="128">
        <v>0</v>
      </c>
      <c r="R53" s="129">
        <v>0</v>
      </c>
      <c r="S53" s="129">
        <v>0</v>
      </c>
      <c r="T53" s="169">
        <v>0</v>
      </c>
      <c r="U53" s="131">
        <f t="shared" si="11"/>
        <v>0</v>
      </c>
      <c r="V53" s="128">
        <v>0</v>
      </c>
      <c r="W53" s="129">
        <v>0</v>
      </c>
      <c r="X53" s="129">
        <v>0</v>
      </c>
      <c r="Y53" s="169">
        <v>0</v>
      </c>
      <c r="Z53" s="131">
        <f t="shared" si="12"/>
        <v>0</v>
      </c>
    </row>
    <row r="54" spans="1:26" x14ac:dyDescent="0.2">
      <c r="A54" s="114" t="str">
        <f>$A$14</f>
        <v>Mischform</v>
      </c>
      <c r="B54" s="33">
        <v>29</v>
      </c>
      <c r="C54" s="8">
        <v>38281</v>
      </c>
      <c r="D54" s="8">
        <v>25627</v>
      </c>
      <c r="E54" s="152">
        <v>22570.197</v>
      </c>
      <c r="F54" s="34">
        <f t="shared" si="8"/>
        <v>2.9339467395898631E-2</v>
      </c>
      <c r="G54" s="47">
        <v>34</v>
      </c>
      <c r="H54" s="48">
        <v>41092</v>
      </c>
      <c r="I54" s="48">
        <v>26669</v>
      </c>
      <c r="J54" s="162">
        <v>22761.839</v>
      </c>
      <c r="K54" s="50">
        <f t="shared" si="9"/>
        <v>3.1061980347488333E-2</v>
      </c>
      <c r="L54" s="128">
        <v>43</v>
      </c>
      <c r="M54" s="129">
        <v>56574</v>
      </c>
      <c r="N54" s="129">
        <v>33402</v>
      </c>
      <c r="O54" s="169">
        <v>27417.475999999999</v>
      </c>
      <c r="P54" s="131">
        <f t="shared" si="10"/>
        <v>3.8946277237266361E-2</v>
      </c>
      <c r="Q54" s="128">
        <v>46</v>
      </c>
      <c r="R54" s="129">
        <v>83707</v>
      </c>
      <c r="S54" s="129">
        <v>43164</v>
      </c>
      <c r="T54" s="169">
        <v>33287.326000000001</v>
      </c>
      <c r="U54" s="131">
        <f t="shared" si="11"/>
        <v>4.9043553332545897E-2</v>
      </c>
      <c r="V54" s="128">
        <v>45</v>
      </c>
      <c r="W54" s="129">
        <v>81503</v>
      </c>
      <c r="X54" s="129">
        <v>40997</v>
      </c>
      <c r="Y54" s="169">
        <v>31716.795999999998</v>
      </c>
      <c r="Z54" s="131">
        <f t="shared" si="12"/>
        <v>5.1433311295641236E-2</v>
      </c>
    </row>
    <row r="55" spans="1:26" x14ac:dyDescent="0.2">
      <c r="A55" s="114" t="str">
        <f>$A$15</f>
        <v>Andere</v>
      </c>
      <c r="B55" s="33">
        <v>30</v>
      </c>
      <c r="C55" s="8">
        <v>2399</v>
      </c>
      <c r="D55" s="8">
        <v>122</v>
      </c>
      <c r="E55" s="152">
        <v>113.748</v>
      </c>
      <c r="F55" s="34">
        <f t="shared" si="8"/>
        <v>1.4786338539041896E-4</v>
      </c>
      <c r="G55" s="47">
        <v>28</v>
      </c>
      <c r="H55" s="48">
        <v>2150</v>
      </c>
      <c r="I55" s="48">
        <v>244</v>
      </c>
      <c r="J55" s="162">
        <v>148.21100000000001</v>
      </c>
      <c r="K55" s="50">
        <f t="shared" si="9"/>
        <v>2.0225638048321112E-4</v>
      </c>
      <c r="L55" s="128">
        <v>21</v>
      </c>
      <c r="M55" s="129">
        <v>8883</v>
      </c>
      <c r="N55" s="129">
        <v>2335</v>
      </c>
      <c r="O55" s="169">
        <v>2979.8530000000001</v>
      </c>
      <c r="P55" s="131">
        <f t="shared" si="10"/>
        <v>4.2328542957163484E-3</v>
      </c>
      <c r="Q55" s="128">
        <v>28</v>
      </c>
      <c r="R55" s="129">
        <v>10266</v>
      </c>
      <c r="S55" s="129">
        <v>2775</v>
      </c>
      <c r="T55" s="169">
        <v>3306.1089999999999</v>
      </c>
      <c r="U55" s="131">
        <f t="shared" si="11"/>
        <v>4.8710230754104421E-3</v>
      </c>
      <c r="V55" s="128">
        <v>42</v>
      </c>
      <c r="W55" s="129">
        <v>10087</v>
      </c>
      <c r="X55" s="129">
        <v>2498</v>
      </c>
      <c r="Y55" s="169">
        <v>1754.5429999999999</v>
      </c>
      <c r="Z55" s="131">
        <f t="shared" si="12"/>
        <v>2.8452418806927489E-3</v>
      </c>
    </row>
    <row r="56" spans="1:26" x14ac:dyDescent="0.2">
      <c r="A56" s="114" t="str">
        <f>$A$16</f>
        <v>Leistungsprimat</v>
      </c>
      <c r="B56" s="33">
        <v>46</v>
      </c>
      <c r="C56" s="8">
        <v>90689</v>
      </c>
      <c r="D56" s="8">
        <v>48059</v>
      </c>
      <c r="E56" s="152">
        <v>40749.595999999998</v>
      </c>
      <c r="F56" s="34">
        <f t="shared" si="8"/>
        <v>5.2971245365649275E-2</v>
      </c>
      <c r="G56" s="47">
        <v>51</v>
      </c>
      <c r="H56" s="48">
        <v>92632</v>
      </c>
      <c r="I56" s="48">
        <v>50235</v>
      </c>
      <c r="J56" s="162">
        <v>40570.080999999998</v>
      </c>
      <c r="K56" s="50">
        <f t="shared" si="9"/>
        <v>5.5364026549788427E-2</v>
      </c>
      <c r="L56" s="128">
        <v>60</v>
      </c>
      <c r="M56" s="129">
        <v>96381</v>
      </c>
      <c r="N56" s="129">
        <v>52004</v>
      </c>
      <c r="O56" s="169">
        <v>39353.904999999999</v>
      </c>
      <c r="P56" s="131">
        <f t="shared" si="10"/>
        <v>5.5901866915066982E-2</v>
      </c>
      <c r="Q56" s="128">
        <v>75</v>
      </c>
      <c r="R56" s="129">
        <v>101094</v>
      </c>
      <c r="S56" s="129">
        <v>55522</v>
      </c>
      <c r="T56" s="169">
        <v>40824.760999999999</v>
      </c>
      <c r="U56" s="131">
        <f t="shared" si="11"/>
        <v>6.0148758821659022E-2</v>
      </c>
      <c r="V56" s="128">
        <v>88</v>
      </c>
      <c r="W56" s="129">
        <v>120555</v>
      </c>
      <c r="X56" s="129">
        <v>60286</v>
      </c>
      <c r="Y56" s="169">
        <v>45183.362000000001</v>
      </c>
      <c r="Z56" s="131">
        <f t="shared" si="12"/>
        <v>7.3271269996176377E-2</v>
      </c>
    </row>
    <row r="57" spans="1:26" ht="14.25" customHeight="1" x14ac:dyDescent="0.2">
      <c r="A57" s="114" t="str">
        <f>$A$17</f>
        <v>Rentnerkasse</v>
      </c>
      <c r="B57" s="33">
        <v>45</v>
      </c>
      <c r="C57" s="8">
        <v>0</v>
      </c>
      <c r="D57" s="8">
        <v>10688</v>
      </c>
      <c r="E57" s="152">
        <v>4131.0630000000001</v>
      </c>
      <c r="F57" s="34">
        <f t="shared" si="8"/>
        <v>5.3700545103307334E-3</v>
      </c>
      <c r="G57" s="47">
        <v>46</v>
      </c>
      <c r="H57" s="48">
        <v>0</v>
      </c>
      <c r="I57" s="48">
        <v>9908</v>
      </c>
      <c r="J57" s="162">
        <v>3781.7339999999999</v>
      </c>
      <c r="K57" s="50">
        <f t="shared" si="9"/>
        <v>5.1607494098973479E-3</v>
      </c>
      <c r="L57" s="184">
        <v>56</v>
      </c>
      <c r="M57" s="129">
        <v>0</v>
      </c>
      <c r="N57" s="129">
        <v>10162</v>
      </c>
      <c r="O57" s="169">
        <v>3677.6709999999998</v>
      </c>
      <c r="P57" s="185">
        <f t="shared" si="10"/>
        <v>5.2240984674685092E-3</v>
      </c>
      <c r="Q57" s="184">
        <v>57</v>
      </c>
      <c r="R57" s="129">
        <v>0</v>
      </c>
      <c r="S57" s="129">
        <v>5131</v>
      </c>
      <c r="T57" s="169">
        <v>1934.0940000000001</v>
      </c>
      <c r="U57" s="185">
        <f t="shared" si="11"/>
        <v>2.8495783121527101E-3</v>
      </c>
      <c r="V57" s="184">
        <v>56</v>
      </c>
      <c r="W57" s="129">
        <v>0</v>
      </c>
      <c r="X57" s="129">
        <v>3783</v>
      </c>
      <c r="Y57" s="169">
        <v>1728.184</v>
      </c>
      <c r="Z57" s="185">
        <f t="shared" si="12"/>
        <v>2.8024970002690831E-3</v>
      </c>
    </row>
    <row r="58" spans="1:26" ht="12.75" hidden="1" customHeight="1" x14ac:dyDescent="0.2">
      <c r="A58" s="114">
        <f>$A$18</f>
        <v>0</v>
      </c>
      <c r="B58" s="33"/>
      <c r="C58" s="8"/>
      <c r="D58" s="8"/>
      <c r="E58" s="152"/>
      <c r="F58" s="34"/>
      <c r="G58" s="47"/>
      <c r="H58" s="48"/>
      <c r="I58" s="48"/>
      <c r="J58" s="162"/>
      <c r="K58" s="50"/>
      <c r="L58" s="128"/>
      <c r="M58" s="129"/>
      <c r="N58" s="129"/>
      <c r="O58" s="169"/>
      <c r="P58" s="131"/>
      <c r="Q58" s="128"/>
      <c r="R58" s="129"/>
      <c r="S58" s="129"/>
      <c r="T58" s="169"/>
      <c r="U58" s="131"/>
      <c r="V58" s="128"/>
      <c r="W58" s="129"/>
      <c r="X58" s="129"/>
      <c r="Y58" s="169"/>
      <c r="Z58" s="131"/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 t="shared" ref="B76:F76" si="13">SUM(B$52:B$75)</f>
        <v>1616</v>
      </c>
      <c r="C76" s="9">
        <f t="shared" si="13"/>
        <v>3850189</v>
      </c>
      <c r="D76" s="9">
        <f t="shared" si="13"/>
        <v>761307</v>
      </c>
      <c r="E76" s="153">
        <f t="shared" si="13"/>
        <v>769277.66600000008</v>
      </c>
      <c r="F76" s="67">
        <f t="shared" si="13"/>
        <v>0.99999999999999989</v>
      </c>
      <c r="G76" s="51">
        <f t="shared" ref="G76:K76" si="14">SUM(G$52:G$75)</f>
        <v>1643</v>
      </c>
      <c r="H76" s="68">
        <f t="shared" si="14"/>
        <v>3728054</v>
      </c>
      <c r="I76" s="68">
        <f t="shared" si="14"/>
        <v>738727</v>
      </c>
      <c r="J76" s="163">
        <f t="shared" si="14"/>
        <v>732787.76000000013</v>
      </c>
      <c r="K76" s="69">
        <f t="shared" si="14"/>
        <v>0.99999999999999978</v>
      </c>
      <c r="L76" s="132">
        <f t="shared" ref="L76:Z76" si="15">SUM(L$52:L$75)</f>
        <v>1705</v>
      </c>
      <c r="M76" s="133">
        <f t="shared" si="15"/>
        <v>3729812</v>
      </c>
      <c r="N76" s="133">
        <f t="shared" si="15"/>
        <v>734767</v>
      </c>
      <c r="O76" s="170">
        <f t="shared" si="15"/>
        <v>703981.94499999995</v>
      </c>
      <c r="P76" s="135">
        <f t="shared" si="15"/>
        <v>1</v>
      </c>
      <c r="Q76" s="132">
        <f t="shared" si="15"/>
        <v>1802</v>
      </c>
      <c r="R76" s="133">
        <f t="shared" si="15"/>
        <v>3664657</v>
      </c>
      <c r="S76" s="133">
        <f t="shared" si="15"/>
        <v>714906</v>
      </c>
      <c r="T76" s="170">
        <f t="shared" si="15"/>
        <v>678729.89900000021</v>
      </c>
      <c r="U76" s="135">
        <f t="shared" si="15"/>
        <v>0.99999999999999978</v>
      </c>
      <c r="V76" s="132">
        <f t="shared" si="15"/>
        <v>1847</v>
      </c>
      <c r="W76" s="133">
        <f t="shared" si="15"/>
        <v>3574632</v>
      </c>
      <c r="X76" s="133">
        <f t="shared" si="15"/>
        <v>783627</v>
      </c>
      <c r="Y76" s="170">
        <f t="shared" si="15"/>
        <v>616658.64399999985</v>
      </c>
      <c r="Z76" s="135">
        <f t="shared" si="15"/>
        <v>1.0000000000000002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Beitragsprimat</v>
      </c>
      <c r="B92" s="36">
        <v>25</v>
      </c>
      <c r="C92" s="10">
        <v>165215</v>
      </c>
      <c r="D92" s="10">
        <v>77977</v>
      </c>
      <c r="E92" s="154">
        <v>68020.184999999998</v>
      </c>
      <c r="F92" s="37">
        <f t="shared" ref="F92:F97" si="16">E92/E$116</f>
        <v>0.5075749989830991</v>
      </c>
      <c r="G92" s="53">
        <v>25</v>
      </c>
      <c r="H92" s="54">
        <v>164112</v>
      </c>
      <c r="I92" s="54">
        <v>74641</v>
      </c>
      <c r="J92" s="164">
        <v>64795.97</v>
      </c>
      <c r="K92" s="56">
        <f t="shared" ref="K92:K97" si="17">J92/J$116</f>
        <v>0.50909258588676631</v>
      </c>
      <c r="L92" s="136">
        <v>21</v>
      </c>
      <c r="M92" s="137">
        <v>130493</v>
      </c>
      <c r="N92" s="137">
        <v>54335</v>
      </c>
      <c r="O92" s="171">
        <v>48662.466</v>
      </c>
      <c r="P92" s="139">
        <f t="shared" ref="P92:P97" si="18">O92/O$116</f>
        <v>0.40807780698460133</v>
      </c>
      <c r="Q92" s="136">
        <v>21</v>
      </c>
      <c r="R92" s="137">
        <v>85728</v>
      </c>
      <c r="S92" s="137">
        <v>34237</v>
      </c>
      <c r="T92" s="171">
        <v>28475.809000000001</v>
      </c>
      <c r="U92" s="139">
        <f t="shared" ref="U92:U97" si="19">T92/T$116</f>
        <v>0.22725902138014475</v>
      </c>
      <c r="V92" s="136">
        <v>23</v>
      </c>
      <c r="W92" s="137">
        <v>69413</v>
      </c>
      <c r="X92" s="137">
        <v>28653</v>
      </c>
      <c r="Y92" s="171">
        <v>23411.474999999999</v>
      </c>
      <c r="Z92" s="139">
        <f t="shared" ref="Z92:Z97" si="20">Y92/Y$116</f>
        <v>0.18177148577320892</v>
      </c>
    </row>
    <row r="93" spans="1:26" ht="12.75" customHeight="1" x14ac:dyDescent="0.2">
      <c r="A93" s="114" t="str">
        <f>$A$13</f>
        <v>1e-Einrichtung</v>
      </c>
      <c r="B93" s="36">
        <v>0</v>
      </c>
      <c r="C93" s="10">
        <v>0</v>
      </c>
      <c r="D93" s="10">
        <v>0</v>
      </c>
      <c r="E93" s="154">
        <v>0</v>
      </c>
      <c r="F93" s="37">
        <f t="shared" si="16"/>
        <v>0</v>
      </c>
      <c r="G93" s="53">
        <v>0</v>
      </c>
      <c r="H93" s="54">
        <v>0</v>
      </c>
      <c r="I93" s="54">
        <v>0</v>
      </c>
      <c r="J93" s="164">
        <v>0</v>
      </c>
      <c r="K93" s="56">
        <f t="shared" si="17"/>
        <v>0</v>
      </c>
      <c r="L93" s="136">
        <v>0</v>
      </c>
      <c r="M93" s="137">
        <v>0</v>
      </c>
      <c r="N93" s="137">
        <v>0</v>
      </c>
      <c r="O93" s="171">
        <v>0</v>
      </c>
      <c r="P93" s="139">
        <f t="shared" si="18"/>
        <v>0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19"/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0"/>
        <v>0</v>
      </c>
    </row>
    <row r="94" spans="1:26" x14ac:dyDescent="0.2">
      <c r="A94" s="114" t="str">
        <f>$A$14</f>
        <v>Mischform</v>
      </c>
      <c r="B94" s="36">
        <v>1</v>
      </c>
      <c r="C94" s="10">
        <v>5584</v>
      </c>
      <c r="D94" s="10">
        <v>3691</v>
      </c>
      <c r="E94" s="154">
        <v>2306.087</v>
      </c>
      <c r="F94" s="37">
        <f t="shared" si="16"/>
        <v>1.7208305250565523E-2</v>
      </c>
      <c r="G94" s="53">
        <v>1</v>
      </c>
      <c r="H94" s="54">
        <v>5458</v>
      </c>
      <c r="I94" s="54">
        <v>3697</v>
      </c>
      <c r="J94" s="164">
        <v>2218.931</v>
      </c>
      <c r="K94" s="56">
        <f t="shared" si="17"/>
        <v>1.7433820663450339E-2</v>
      </c>
      <c r="L94" s="136">
        <v>1</v>
      </c>
      <c r="M94" s="137">
        <v>5181</v>
      </c>
      <c r="N94" s="137">
        <v>3706</v>
      </c>
      <c r="O94" s="171">
        <v>2194.7629999999999</v>
      </c>
      <c r="P94" s="139">
        <f t="shared" si="18"/>
        <v>1.840502846466812E-2</v>
      </c>
      <c r="Q94" s="136">
        <v>1</v>
      </c>
      <c r="R94" s="137">
        <v>5081</v>
      </c>
      <c r="S94" s="137">
        <v>3761</v>
      </c>
      <c r="T94" s="171">
        <v>2185.6889999999999</v>
      </c>
      <c r="U94" s="139">
        <f t="shared" si="19"/>
        <v>1.7443491883982899E-2</v>
      </c>
      <c r="V94" s="136">
        <v>3</v>
      </c>
      <c r="W94" s="137">
        <v>13333</v>
      </c>
      <c r="X94" s="137">
        <v>7106</v>
      </c>
      <c r="Y94" s="171">
        <v>4637.0709999999999</v>
      </c>
      <c r="Z94" s="139">
        <f t="shared" si="20"/>
        <v>3.6003168758305906E-2</v>
      </c>
    </row>
    <row r="95" spans="1:26" x14ac:dyDescent="0.2">
      <c r="A95" s="114" t="str">
        <f>$A$15</f>
        <v>Andere</v>
      </c>
      <c r="B95" s="36">
        <v>0</v>
      </c>
      <c r="C95" s="10">
        <v>0</v>
      </c>
      <c r="D95" s="10">
        <v>0</v>
      </c>
      <c r="E95" s="154">
        <v>0</v>
      </c>
      <c r="F95" s="37">
        <f t="shared" si="16"/>
        <v>0</v>
      </c>
      <c r="G95" s="53">
        <v>0</v>
      </c>
      <c r="H95" s="54">
        <v>0</v>
      </c>
      <c r="I95" s="54">
        <v>0</v>
      </c>
      <c r="J95" s="164">
        <v>0</v>
      </c>
      <c r="K95" s="56">
        <f t="shared" si="17"/>
        <v>0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18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19"/>
        <v>0</v>
      </c>
      <c r="V95" s="136">
        <v>2</v>
      </c>
      <c r="W95" s="137">
        <v>592</v>
      </c>
      <c r="X95" s="137">
        <v>352</v>
      </c>
      <c r="Y95" s="171">
        <v>207.23599999999999</v>
      </c>
      <c r="Z95" s="139">
        <f t="shared" si="20"/>
        <v>1.6090227388789783E-3</v>
      </c>
    </row>
    <row r="96" spans="1:26" x14ac:dyDescent="0.2">
      <c r="A96" s="114" t="str">
        <f>$A$16</f>
        <v>Leistungsprimat</v>
      </c>
      <c r="B96" s="36">
        <v>12</v>
      </c>
      <c r="C96" s="10">
        <v>154924</v>
      </c>
      <c r="D96" s="10">
        <v>74516</v>
      </c>
      <c r="E96" s="154">
        <v>63683.845000000001</v>
      </c>
      <c r="F96" s="37">
        <f t="shared" si="16"/>
        <v>0.47521669576633535</v>
      </c>
      <c r="G96" s="53">
        <v>13</v>
      </c>
      <c r="H96" s="54">
        <v>152470</v>
      </c>
      <c r="I96" s="54">
        <v>71760</v>
      </c>
      <c r="J96" s="164">
        <v>60262.478000000003</v>
      </c>
      <c r="K96" s="56">
        <f t="shared" si="17"/>
        <v>0.4734735934497834</v>
      </c>
      <c r="L96" s="136">
        <v>16</v>
      </c>
      <c r="M96" s="137">
        <v>172669</v>
      </c>
      <c r="N96" s="137">
        <v>85793</v>
      </c>
      <c r="O96" s="171">
        <v>68390.78</v>
      </c>
      <c r="P96" s="139">
        <f t="shared" si="18"/>
        <v>0.57351716455073065</v>
      </c>
      <c r="Q96" s="136">
        <v>21</v>
      </c>
      <c r="R96" s="137">
        <v>248571</v>
      </c>
      <c r="S96" s="137">
        <v>115914</v>
      </c>
      <c r="T96" s="171">
        <v>94639.618000000002</v>
      </c>
      <c r="U96" s="139">
        <f t="shared" si="19"/>
        <v>0.75529748673587227</v>
      </c>
      <c r="V96" s="136">
        <v>30</v>
      </c>
      <c r="W96" s="137">
        <v>274778</v>
      </c>
      <c r="X96" s="137">
        <v>123594</v>
      </c>
      <c r="Y96" s="171">
        <v>100540.409</v>
      </c>
      <c r="Z96" s="139">
        <f t="shared" si="20"/>
        <v>0.78061632272960624</v>
      </c>
    </row>
    <row r="97" spans="1:26" ht="14.25" customHeight="1" x14ac:dyDescent="0.2">
      <c r="A97" s="114" t="str">
        <f>$A$17</f>
        <v>Rentnerkasse</v>
      </c>
      <c r="B97" s="36">
        <v>0</v>
      </c>
      <c r="C97" s="10">
        <v>0</v>
      </c>
      <c r="D97" s="10">
        <v>0</v>
      </c>
      <c r="E97" s="154">
        <v>0</v>
      </c>
      <c r="F97" s="37">
        <f t="shared" si="16"/>
        <v>0</v>
      </c>
      <c r="G97" s="53">
        <v>0</v>
      </c>
      <c r="H97" s="54">
        <v>0</v>
      </c>
      <c r="I97" s="54">
        <v>0</v>
      </c>
      <c r="J97" s="164">
        <v>0</v>
      </c>
      <c r="K97" s="56">
        <f t="shared" si="17"/>
        <v>0</v>
      </c>
      <c r="L97" s="186">
        <v>0</v>
      </c>
      <c r="M97" s="137">
        <v>0</v>
      </c>
      <c r="N97" s="137">
        <v>0</v>
      </c>
      <c r="O97" s="171">
        <v>0</v>
      </c>
      <c r="P97" s="187">
        <f t="shared" si="18"/>
        <v>0</v>
      </c>
      <c r="Q97" s="186">
        <v>0</v>
      </c>
      <c r="R97" s="137">
        <v>0</v>
      </c>
      <c r="S97" s="137">
        <v>0</v>
      </c>
      <c r="T97" s="171">
        <v>0</v>
      </c>
      <c r="U97" s="187">
        <f t="shared" si="19"/>
        <v>0</v>
      </c>
      <c r="V97" s="186">
        <v>0</v>
      </c>
      <c r="W97" s="137">
        <v>0</v>
      </c>
      <c r="X97" s="137">
        <v>0</v>
      </c>
      <c r="Y97" s="171">
        <v>0</v>
      </c>
      <c r="Z97" s="187">
        <f t="shared" si="20"/>
        <v>0</v>
      </c>
    </row>
    <row r="98" spans="1:26" ht="12.75" hidden="1" customHeight="1" x14ac:dyDescent="0.2">
      <c r="A98" s="114">
        <f>$A$18</f>
        <v>0</v>
      </c>
      <c r="B98" s="36"/>
      <c r="C98" s="10"/>
      <c r="D98" s="10"/>
      <c r="E98" s="154"/>
      <c r="F98" s="37"/>
      <c r="G98" s="53"/>
      <c r="H98" s="54"/>
      <c r="I98" s="54"/>
      <c r="J98" s="164"/>
      <c r="K98" s="56"/>
      <c r="L98" s="136"/>
      <c r="M98" s="137"/>
      <c r="N98" s="137"/>
      <c r="O98" s="171"/>
      <c r="P98" s="139"/>
      <c r="Q98" s="136"/>
      <c r="R98" s="137"/>
      <c r="S98" s="137"/>
      <c r="T98" s="171"/>
      <c r="U98" s="139"/>
      <c r="V98" s="136"/>
      <c r="W98" s="137"/>
      <c r="X98" s="137"/>
      <c r="Y98" s="171"/>
      <c r="Z98" s="139"/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 t="shared" ref="B116:F116" si="21">SUM(B$92:B$115)</f>
        <v>38</v>
      </c>
      <c r="C116" s="11">
        <f t="shared" si="21"/>
        <v>325723</v>
      </c>
      <c r="D116" s="11">
        <f t="shared" si="21"/>
        <v>156184</v>
      </c>
      <c r="E116" s="155">
        <f t="shared" si="21"/>
        <v>134010.117</v>
      </c>
      <c r="F116" s="70">
        <f t="shared" si="21"/>
        <v>1</v>
      </c>
      <c r="G116" s="57">
        <f t="shared" ref="G116:K116" si="22">SUM(G$92:G$115)</f>
        <v>39</v>
      </c>
      <c r="H116" s="71">
        <f t="shared" si="22"/>
        <v>322040</v>
      </c>
      <c r="I116" s="71">
        <f t="shared" si="22"/>
        <v>150098</v>
      </c>
      <c r="J116" s="165">
        <f t="shared" si="22"/>
        <v>127277.379</v>
      </c>
      <c r="K116" s="72">
        <f t="shared" si="22"/>
        <v>1</v>
      </c>
      <c r="L116" s="140">
        <f t="shared" ref="L116:Y116" si="23">SUM(L$92:L$115)</f>
        <v>38</v>
      </c>
      <c r="M116" s="141">
        <f t="shared" si="23"/>
        <v>308343</v>
      </c>
      <c r="N116" s="141">
        <f t="shared" si="23"/>
        <v>143834</v>
      </c>
      <c r="O116" s="172">
        <f t="shared" si="23"/>
        <v>119248.00899999999</v>
      </c>
      <c r="P116" s="143">
        <f t="shared" si="23"/>
        <v>1</v>
      </c>
      <c r="Q116" s="140">
        <f t="shared" si="23"/>
        <v>43</v>
      </c>
      <c r="R116" s="141">
        <f t="shared" si="23"/>
        <v>339380</v>
      </c>
      <c r="S116" s="141">
        <f t="shared" si="23"/>
        <v>153912</v>
      </c>
      <c r="T116" s="172">
        <f t="shared" si="23"/>
        <v>125301.11600000001</v>
      </c>
      <c r="U116" s="143">
        <f t="shared" si="23"/>
        <v>0.99999999999999989</v>
      </c>
      <c r="V116" s="140">
        <f t="shared" si="23"/>
        <v>58</v>
      </c>
      <c r="W116" s="141">
        <f t="shared" si="23"/>
        <v>358116</v>
      </c>
      <c r="X116" s="141">
        <f t="shared" si="23"/>
        <v>159705</v>
      </c>
      <c r="Y116" s="172">
        <f t="shared" si="23"/>
        <v>128796.19099999999</v>
      </c>
      <c r="Z116" s="143">
        <f t="shared" ref="Z116" si="24">SUM(Z$92:Z$115)</f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3">
    <pageSetUpPr fitToPage="1"/>
  </sheetPr>
  <dimension ref="A1:Z120"/>
  <sheetViews>
    <sheetView workbookViewId="0">
      <pane xSplit="1" ySplit="5" topLeftCell="B6" activePane="bottomRight" state="frozen"/>
      <selection pane="topRight"/>
      <selection pane="bottomLeft"/>
      <selection pane="bottomRight"/>
    </sheetView>
  </sheetViews>
  <sheetFormatPr baseColWidth="10" defaultColWidth="11" defaultRowHeight="12.75" x14ac:dyDescent="0.2"/>
  <cols>
    <col min="1" max="1" width="40.625" style="110" customWidth="1"/>
    <col min="2" max="2" width="11" style="25" customWidth="1"/>
    <col min="3" max="4" width="11" style="18"/>
    <col min="5" max="5" width="11" style="147"/>
    <col min="6" max="6" width="11" style="27"/>
    <col min="7" max="7" width="11" style="25" customWidth="1"/>
    <col min="8" max="9" width="11" style="18"/>
    <col min="10" max="10" width="11" style="158"/>
    <col min="11" max="11" width="11" style="27"/>
    <col min="12" max="12" width="11" style="25"/>
    <col min="13" max="14" width="11" style="18"/>
    <col min="15" max="15" width="11" style="158"/>
    <col min="16" max="16" width="11" style="27"/>
    <col min="17" max="17" width="11" style="25"/>
    <col min="18" max="19" width="11" style="18"/>
    <col min="20" max="20" width="11" style="158"/>
    <col min="21" max="21" width="11" style="27"/>
    <col min="22" max="22" width="11" style="25"/>
    <col min="23" max="24" width="11" style="18"/>
    <col min="25" max="25" width="11" style="158"/>
    <col min="26" max="26" width="11" style="27"/>
    <col min="27" max="16384" width="11" style="1"/>
  </cols>
  <sheetData>
    <row r="1" spans="1:26" s="22" customFormat="1" ht="18" x14ac:dyDescent="0.25">
      <c r="A1" s="109" t="str">
        <f>Translation!$A$138</f>
        <v>Zinsversprechen für zukünftige Rentenleistungen</v>
      </c>
      <c r="B1" s="21"/>
      <c r="E1" s="146"/>
      <c r="F1" s="24"/>
      <c r="G1" s="21"/>
      <c r="J1" s="157"/>
      <c r="K1" s="24"/>
      <c r="L1" s="21"/>
      <c r="O1" s="157"/>
      <c r="P1" s="24"/>
      <c r="Q1" s="21"/>
      <c r="T1" s="157"/>
      <c r="U1" s="24"/>
      <c r="V1" s="21"/>
      <c r="Y1" s="157"/>
      <c r="Z1" s="24"/>
    </row>
    <row r="2" spans="1:26" s="18" customFormat="1" x14ac:dyDescent="0.2">
      <c r="A2" s="121" t="str">
        <f>Translation!$A$28</f>
        <v>zurück zur Übersicht</v>
      </c>
      <c r="B2" s="25"/>
      <c r="E2" s="147"/>
      <c r="F2" s="27"/>
      <c r="G2" s="25"/>
      <c r="J2" s="158"/>
      <c r="K2" s="27"/>
      <c r="L2" s="25"/>
      <c r="O2" s="158"/>
      <c r="P2" s="27"/>
      <c r="Q2" s="25"/>
      <c r="T2" s="158"/>
      <c r="U2" s="27"/>
      <c r="V2" s="25"/>
      <c r="Y2" s="158"/>
      <c r="Z2" s="27"/>
    </row>
    <row r="3" spans="1:26" s="18" customFormat="1" ht="15.75" x14ac:dyDescent="0.25">
      <c r="A3" s="110"/>
      <c r="B3" s="208">
        <f>Translation!$A$42</f>
        <v>2017</v>
      </c>
      <c r="C3" s="209"/>
      <c r="D3" s="209"/>
      <c r="E3" s="209"/>
      <c r="F3" s="210"/>
      <c r="G3" s="208">
        <f>Translation!$A$41</f>
        <v>2016</v>
      </c>
      <c r="H3" s="209"/>
      <c r="I3" s="209"/>
      <c r="J3" s="209"/>
      <c r="K3" s="210"/>
      <c r="L3" s="208">
        <f>Translation!$A$40</f>
        <v>2015</v>
      </c>
      <c r="M3" s="209"/>
      <c r="N3" s="209"/>
      <c r="O3" s="209"/>
      <c r="P3" s="210"/>
      <c r="Q3" s="208">
        <f>Translation!$A$39</f>
        <v>2014</v>
      </c>
      <c r="R3" s="209"/>
      <c r="S3" s="209"/>
      <c r="T3" s="209"/>
      <c r="U3" s="210"/>
      <c r="V3" s="208">
        <f>Translation!$A$38</f>
        <v>2013</v>
      </c>
      <c r="W3" s="209"/>
      <c r="X3" s="209"/>
      <c r="Y3" s="209"/>
      <c r="Z3" s="210"/>
    </row>
    <row r="4" spans="1:26" s="18" customFormat="1" ht="38.25" x14ac:dyDescent="0.2">
      <c r="A4" s="111"/>
      <c r="B4" s="28" t="str">
        <f>Translation!$A$43</f>
        <v>Anzahl VE</v>
      </c>
      <c r="C4" s="19" t="str">
        <f>Translation!$A$44</f>
        <v>Anzahl aktive Versicherte</v>
      </c>
      <c r="D4" s="19" t="str">
        <f>Translation!$A$45</f>
        <v>Anzahl Rentner</v>
      </c>
      <c r="E4" s="148" t="str">
        <f>Translation!$A$46</f>
        <v>Vorsorge-kapital</v>
      </c>
      <c r="F4" s="29" t="str">
        <f>Translation!$A$49</f>
        <v>Anteil Vorsorge-kapital</v>
      </c>
      <c r="G4" s="28" t="str">
        <f>Translation!$A$43</f>
        <v>Anzahl VE</v>
      </c>
      <c r="H4" s="19" t="str">
        <f>Translation!$A$44</f>
        <v>Anzahl aktive Versicherte</v>
      </c>
      <c r="I4" s="19" t="str">
        <f>Translation!$A$45</f>
        <v>Anzahl Rentner</v>
      </c>
      <c r="J4" s="148" t="str">
        <f>Translation!$A$46</f>
        <v>Vorsorge-kapital</v>
      </c>
      <c r="K4" s="29" t="str">
        <f>Translation!$A$49</f>
        <v>Anteil Vorsorge-kapital</v>
      </c>
      <c r="L4" s="28" t="str">
        <f>Translation!$A$43</f>
        <v>Anzahl VE</v>
      </c>
      <c r="M4" s="73" t="str">
        <f>Translation!$A$44</f>
        <v>Anzahl aktive Versicherte</v>
      </c>
      <c r="N4" s="73" t="str">
        <f>Translation!$A$45</f>
        <v>Anzahl Rentner</v>
      </c>
      <c r="O4" s="148" t="str">
        <f>Translation!$A$46</f>
        <v>Vorsorge-kapital</v>
      </c>
      <c r="P4" s="29" t="str">
        <f>Translation!$A$49</f>
        <v>Anteil Vorsorge-kapital</v>
      </c>
      <c r="Q4" s="28" t="str">
        <f>Translation!$A$43</f>
        <v>Anzahl VE</v>
      </c>
      <c r="R4" s="73" t="str">
        <f>Translation!$A$44</f>
        <v>Anzahl aktive Versicherte</v>
      </c>
      <c r="S4" s="73" t="str">
        <f>Translation!$A$45</f>
        <v>Anzahl Rentner</v>
      </c>
      <c r="T4" s="148" t="str">
        <f>Translation!$A$46</f>
        <v>Vorsorge-kapital</v>
      </c>
      <c r="U4" s="29" t="str">
        <f>Translation!$A$49</f>
        <v>Anteil Vorsorge-kapital</v>
      </c>
      <c r="V4" s="28" t="str">
        <f>Translation!$A$43</f>
        <v>Anzahl VE</v>
      </c>
      <c r="W4" s="73" t="str">
        <f>Translation!$A$44</f>
        <v>Anzahl aktive Versicherte</v>
      </c>
      <c r="X4" s="73" t="str">
        <f>Translation!$A$45</f>
        <v>Anzahl Rentner</v>
      </c>
      <c r="Y4" s="148" t="str">
        <f>Translation!$A$46</f>
        <v>Vorsorge-kapital</v>
      </c>
      <c r="Z4" s="29" t="str">
        <f>Translation!$A$49</f>
        <v>Anteil Vorsorge-kapital</v>
      </c>
    </row>
    <row r="5" spans="1:26" s="60" customFormat="1" ht="13.5" thickBot="1" x14ac:dyDescent="0.25">
      <c r="A5" s="112"/>
      <c r="B5" s="59"/>
      <c r="E5" s="149"/>
      <c r="F5" s="62"/>
      <c r="G5" s="59"/>
      <c r="J5" s="159"/>
      <c r="K5" s="62"/>
      <c r="L5" s="59"/>
      <c r="M5" s="74"/>
      <c r="N5" s="74"/>
      <c r="O5" s="159"/>
      <c r="P5" s="62"/>
      <c r="Q5" s="59"/>
      <c r="R5" s="74"/>
      <c r="S5" s="74"/>
      <c r="T5" s="159"/>
      <c r="U5" s="62"/>
      <c r="V5" s="59"/>
      <c r="W5" s="74"/>
      <c r="X5" s="74"/>
      <c r="Y5" s="159"/>
      <c r="Z5" s="62"/>
    </row>
    <row r="6" spans="1:26" x14ac:dyDescent="0.2">
      <c r="M6" s="75"/>
      <c r="N6" s="75"/>
      <c r="R6" s="75"/>
      <c r="S6" s="75"/>
      <c r="W6" s="75"/>
      <c r="X6" s="75"/>
    </row>
    <row r="7" spans="1:26" ht="12.75" hidden="1" customHeight="1" x14ac:dyDescent="0.2">
      <c r="M7" s="75"/>
      <c r="N7" s="75"/>
      <c r="R7" s="75"/>
      <c r="S7" s="75"/>
      <c r="W7" s="75"/>
      <c r="X7" s="75"/>
    </row>
    <row r="8" spans="1:26" ht="12.75" hidden="1" customHeight="1" x14ac:dyDescent="0.2">
      <c r="M8" s="75"/>
      <c r="N8" s="75"/>
      <c r="R8" s="75"/>
      <c r="S8" s="75"/>
      <c r="W8" s="75"/>
      <c r="X8" s="75"/>
    </row>
    <row r="9" spans="1:26" ht="12.75" hidden="1" customHeight="1" x14ac:dyDescent="0.2">
      <c r="M9" s="75"/>
      <c r="N9" s="75"/>
      <c r="R9" s="75"/>
      <c r="S9" s="75"/>
      <c r="W9" s="75"/>
      <c r="X9" s="75"/>
    </row>
    <row r="10" spans="1:26" x14ac:dyDescent="0.2">
      <c r="M10" s="75"/>
      <c r="N10" s="75"/>
      <c r="R10" s="75"/>
      <c r="S10" s="75"/>
      <c r="W10" s="75"/>
      <c r="X10" s="75"/>
    </row>
    <row r="11" spans="1:26" x14ac:dyDescent="0.2">
      <c r="A11" s="113" t="str">
        <f>Translation!$A$29</f>
        <v>alle Vorsorgeeinrichtungen</v>
      </c>
    </row>
    <row r="12" spans="1:26" x14ac:dyDescent="0.2">
      <c r="A12" s="114" t="str">
        <f>Translation!$A139</f>
        <v>Versicherung / nur Kapitalien</v>
      </c>
      <c r="B12" s="30">
        <v>441</v>
      </c>
      <c r="C12" s="6">
        <v>1167149</v>
      </c>
      <c r="D12" s="6">
        <v>14357</v>
      </c>
      <c r="E12" s="150">
        <v>117481.908</v>
      </c>
      <c r="F12" s="31">
        <f t="shared" ref="F12:F18" si="0">E12/E$36</f>
        <v>0.13006033094992051</v>
      </c>
      <c r="G12" s="41">
        <v>463</v>
      </c>
      <c r="H12" s="42">
        <v>1269385</v>
      </c>
      <c r="I12" s="42">
        <v>14328</v>
      </c>
      <c r="J12" s="160">
        <v>126376.677</v>
      </c>
      <c r="K12" s="44">
        <f t="shared" ref="K12:K18" si="1">J12/J$36</f>
        <v>0.14693849485277186</v>
      </c>
      <c r="L12" s="76">
        <v>494</v>
      </c>
      <c r="M12" s="122">
        <v>1313686</v>
      </c>
      <c r="N12" s="122">
        <v>28272</v>
      </c>
      <c r="O12" s="167">
        <v>129407.921</v>
      </c>
      <c r="P12" s="124">
        <f t="shared" ref="P12:P18" si="2">O12/O$36</f>
        <v>0.15719535030427234</v>
      </c>
      <c r="Q12" s="76">
        <v>537</v>
      </c>
      <c r="R12" s="122">
        <v>1279262</v>
      </c>
      <c r="S12" s="122">
        <v>16076</v>
      </c>
      <c r="T12" s="167">
        <v>131393.85699999999</v>
      </c>
      <c r="U12" s="124">
        <f t="shared" ref="U12:U18" si="3">T12/T$36</f>
        <v>0.16341889124762182</v>
      </c>
      <c r="V12" s="76">
        <v>434</v>
      </c>
      <c r="W12" s="122">
        <v>1353962</v>
      </c>
      <c r="X12" s="122">
        <v>117799</v>
      </c>
      <c r="Y12" s="167">
        <v>72129.675999999992</v>
      </c>
      <c r="Z12" s="124">
        <f t="shared" ref="Z12:Z18" si="4">Y12/Y$36</f>
        <v>9.6759283880692784E-2</v>
      </c>
    </row>
    <row r="13" spans="1:26" x14ac:dyDescent="0.2">
      <c r="A13" s="114" t="str">
        <f>Translation!$A140</f>
        <v>unter 2.00%</v>
      </c>
      <c r="B13" s="30">
        <v>64</v>
      </c>
      <c r="C13" s="6">
        <v>203267</v>
      </c>
      <c r="D13" s="6">
        <v>107651</v>
      </c>
      <c r="E13" s="150">
        <v>102938.484</v>
      </c>
      <c r="F13" s="31">
        <f t="shared" si="0"/>
        <v>0.11395978771917033</v>
      </c>
      <c r="G13" s="41">
        <v>38</v>
      </c>
      <c r="H13" s="42">
        <v>124874</v>
      </c>
      <c r="I13" s="42">
        <v>55705</v>
      </c>
      <c r="J13" s="160">
        <v>47888.411</v>
      </c>
      <c r="K13" s="44">
        <f t="shared" si="1"/>
        <v>5.5679981467078157E-2</v>
      </c>
      <c r="L13" s="76">
        <v>19</v>
      </c>
      <c r="M13" s="122">
        <v>96534</v>
      </c>
      <c r="N13" s="122">
        <v>36851</v>
      </c>
      <c r="O13" s="167">
        <v>35775.849000000002</v>
      </c>
      <c r="P13" s="124">
        <f t="shared" si="2"/>
        <v>4.3457904837121614E-2</v>
      </c>
      <c r="Q13" s="76">
        <v>8</v>
      </c>
      <c r="R13" s="122">
        <v>7967</v>
      </c>
      <c r="S13" s="122">
        <v>932</v>
      </c>
      <c r="T13" s="167">
        <v>2215.0420000000004</v>
      </c>
      <c r="U13" s="124">
        <f t="shared" si="3"/>
        <v>2.7549210897044817E-3</v>
      </c>
      <c r="V13" s="76">
        <v>7</v>
      </c>
      <c r="W13" s="122">
        <v>1395</v>
      </c>
      <c r="X13" s="122">
        <v>55</v>
      </c>
      <c r="Y13" s="167">
        <v>563.20699999999999</v>
      </c>
      <c r="Z13" s="124">
        <f t="shared" si="4"/>
        <v>7.555212919103275E-4</v>
      </c>
    </row>
    <row r="14" spans="1:26" x14ac:dyDescent="0.2">
      <c r="A14" s="114" t="str">
        <f>Translation!$A141</f>
        <v>2.00% – 2.49%</v>
      </c>
      <c r="B14" s="30">
        <v>181</v>
      </c>
      <c r="C14" s="6">
        <v>551053</v>
      </c>
      <c r="D14" s="6">
        <v>266592</v>
      </c>
      <c r="E14" s="150">
        <v>223895.36299999998</v>
      </c>
      <c r="F14" s="31">
        <f t="shared" si="0"/>
        <v>0.24786714401959312</v>
      </c>
      <c r="G14" s="41">
        <v>133</v>
      </c>
      <c r="H14" s="42">
        <v>426719</v>
      </c>
      <c r="I14" s="42">
        <v>213979</v>
      </c>
      <c r="J14" s="160">
        <v>173793.39799999999</v>
      </c>
      <c r="K14" s="44">
        <f t="shared" si="1"/>
        <v>0.20207004111580437</v>
      </c>
      <c r="L14" s="76">
        <v>55</v>
      </c>
      <c r="M14" s="122">
        <v>154312</v>
      </c>
      <c r="N14" s="122">
        <v>84201</v>
      </c>
      <c r="O14" s="167">
        <v>61097.068999999996</v>
      </c>
      <c r="P14" s="124">
        <f t="shared" si="2"/>
        <v>7.4216285137749E-2</v>
      </c>
      <c r="Q14" s="76">
        <v>25</v>
      </c>
      <c r="R14" s="122">
        <v>90130</v>
      </c>
      <c r="S14" s="122">
        <v>63492</v>
      </c>
      <c r="T14" s="167">
        <v>37405.042000000001</v>
      </c>
      <c r="U14" s="124">
        <f t="shared" si="3"/>
        <v>4.6521889457212043E-2</v>
      </c>
      <c r="V14" s="76">
        <v>19</v>
      </c>
      <c r="W14" s="122">
        <v>49375</v>
      </c>
      <c r="X14" s="122">
        <v>28963</v>
      </c>
      <c r="Y14" s="167">
        <v>18217.803</v>
      </c>
      <c r="Z14" s="124">
        <f t="shared" si="4"/>
        <v>2.4438506727238546E-2</v>
      </c>
    </row>
    <row r="15" spans="1:26" x14ac:dyDescent="0.2">
      <c r="A15" s="114" t="str">
        <f>Translation!$A142</f>
        <v>2.50% – 2.99%</v>
      </c>
      <c r="B15" s="30">
        <v>273</v>
      </c>
      <c r="C15" s="6">
        <v>519847</v>
      </c>
      <c r="D15" s="6">
        <v>215876</v>
      </c>
      <c r="E15" s="150">
        <v>183253.30499999999</v>
      </c>
      <c r="F15" s="31">
        <f t="shared" si="0"/>
        <v>0.20287366711789123</v>
      </c>
      <c r="G15" s="41">
        <v>235</v>
      </c>
      <c r="H15" s="42">
        <v>455926</v>
      </c>
      <c r="I15" s="42">
        <v>203366</v>
      </c>
      <c r="J15" s="160">
        <v>167996.663</v>
      </c>
      <c r="K15" s="44">
        <f t="shared" si="1"/>
        <v>0.19533016207973522</v>
      </c>
      <c r="L15" s="76">
        <v>156</v>
      </c>
      <c r="M15" s="122">
        <v>353679</v>
      </c>
      <c r="N15" s="122">
        <v>183077</v>
      </c>
      <c r="O15" s="167">
        <v>142203.91399999999</v>
      </c>
      <c r="P15" s="124">
        <f t="shared" si="2"/>
        <v>0.17273899389720213</v>
      </c>
      <c r="Q15" s="76">
        <v>90</v>
      </c>
      <c r="R15" s="122">
        <v>217223</v>
      </c>
      <c r="S15" s="122">
        <v>114249</v>
      </c>
      <c r="T15" s="167">
        <v>102887.31200000001</v>
      </c>
      <c r="U15" s="124">
        <f t="shared" si="3"/>
        <v>0.12796435719584773</v>
      </c>
      <c r="V15" s="76">
        <v>75</v>
      </c>
      <c r="W15" s="122">
        <v>189128</v>
      </c>
      <c r="X15" s="122">
        <v>104219</v>
      </c>
      <c r="Y15" s="167">
        <v>124707.152</v>
      </c>
      <c r="Z15" s="124">
        <f t="shared" si="4"/>
        <v>0.16729001697332879</v>
      </c>
    </row>
    <row r="16" spans="1:26" x14ac:dyDescent="0.2">
      <c r="A16" s="114" t="str">
        <f>Translation!$A143</f>
        <v>3.00% – 3.49%</v>
      </c>
      <c r="B16" s="30">
        <v>182</v>
      </c>
      <c r="C16" s="6">
        <v>361098</v>
      </c>
      <c r="D16" s="6">
        <v>88040</v>
      </c>
      <c r="E16" s="150">
        <v>86403.294999999998</v>
      </c>
      <c r="F16" s="31">
        <f t="shared" si="0"/>
        <v>9.5654227396984509E-2</v>
      </c>
      <c r="G16" s="41">
        <v>184</v>
      </c>
      <c r="H16" s="42">
        <v>329270</v>
      </c>
      <c r="I16" s="42">
        <v>119796</v>
      </c>
      <c r="J16" s="160">
        <v>113907.129</v>
      </c>
      <c r="K16" s="44">
        <f t="shared" si="1"/>
        <v>0.13244011858501803</v>
      </c>
      <c r="L16" s="76">
        <v>287</v>
      </c>
      <c r="M16" s="122">
        <v>505856</v>
      </c>
      <c r="N16" s="122">
        <v>212617</v>
      </c>
      <c r="O16" s="167">
        <v>175777.247</v>
      </c>
      <c r="P16" s="124">
        <f t="shared" si="2"/>
        <v>0.21352144215102259</v>
      </c>
      <c r="Q16" s="76">
        <v>393</v>
      </c>
      <c r="R16" s="122">
        <v>604759</v>
      </c>
      <c r="S16" s="122">
        <v>215101</v>
      </c>
      <c r="T16" s="167">
        <v>173458.85800000001</v>
      </c>
      <c r="U16" s="124">
        <f t="shared" si="3"/>
        <v>0.2157365260343844</v>
      </c>
      <c r="V16" s="76">
        <v>344</v>
      </c>
      <c r="W16" s="122">
        <v>514875</v>
      </c>
      <c r="X16" s="122">
        <v>192096</v>
      </c>
      <c r="Y16" s="167">
        <v>155993.88199999998</v>
      </c>
      <c r="Z16" s="124">
        <f t="shared" si="4"/>
        <v>0.20926000433010805</v>
      </c>
    </row>
    <row r="17" spans="1:26" ht="12.75" customHeight="1" x14ac:dyDescent="0.2">
      <c r="A17" s="110" t="str">
        <f>Translation!$A144</f>
        <v>3.50% – 3.99%</v>
      </c>
      <c r="B17" s="30">
        <v>268</v>
      </c>
      <c r="C17" s="6">
        <v>826932</v>
      </c>
      <c r="D17" s="6">
        <v>148722</v>
      </c>
      <c r="E17" s="150">
        <v>123213.916</v>
      </c>
      <c r="F17" s="31">
        <f t="shared" si="0"/>
        <v>0.13640604724087141</v>
      </c>
      <c r="G17" s="41">
        <v>311</v>
      </c>
      <c r="H17" s="42">
        <v>888779</v>
      </c>
      <c r="I17" s="42">
        <v>173982</v>
      </c>
      <c r="J17" s="160">
        <v>144850.628</v>
      </c>
      <c r="K17" s="44">
        <f t="shared" si="1"/>
        <v>0.16841820628658222</v>
      </c>
      <c r="L17" s="76">
        <v>336</v>
      </c>
      <c r="M17" s="122">
        <v>660452</v>
      </c>
      <c r="N17" s="122">
        <v>170714</v>
      </c>
      <c r="O17" s="167">
        <v>154808.23800000001</v>
      </c>
      <c r="P17" s="124">
        <f t="shared" si="2"/>
        <v>0.18804981189982309</v>
      </c>
      <c r="Q17" s="76">
        <v>390</v>
      </c>
      <c r="R17" s="122">
        <v>919510</v>
      </c>
      <c r="S17" s="122">
        <v>283174</v>
      </c>
      <c r="T17" s="167">
        <v>232262.33800000002</v>
      </c>
      <c r="U17" s="124">
        <f t="shared" si="3"/>
        <v>0.2888723614722748</v>
      </c>
      <c r="V17" s="76">
        <v>458</v>
      </c>
      <c r="W17" s="122">
        <v>917446</v>
      </c>
      <c r="X17" s="122">
        <v>303817</v>
      </c>
      <c r="Y17" s="167">
        <v>234402.345</v>
      </c>
      <c r="Z17" s="124">
        <f t="shared" si="4"/>
        <v>0.31444204798805819</v>
      </c>
    </row>
    <row r="18" spans="1:26" ht="12.75" customHeight="1" x14ac:dyDescent="0.2">
      <c r="A18" s="110" t="str">
        <f>Translation!$A145</f>
        <v>4.00% oder höher</v>
      </c>
      <c r="B18" s="30">
        <v>245</v>
      </c>
      <c r="C18" s="6">
        <v>546566</v>
      </c>
      <c r="D18" s="6">
        <v>76253</v>
      </c>
      <c r="E18" s="150">
        <v>66101.512000000002</v>
      </c>
      <c r="F18" s="31">
        <f t="shared" si="0"/>
        <v>7.3178795555568804E-2</v>
      </c>
      <c r="G18" s="41">
        <v>318</v>
      </c>
      <c r="H18" s="42">
        <v>555141</v>
      </c>
      <c r="I18" s="42">
        <v>107669</v>
      </c>
      <c r="J18" s="160">
        <v>85252.232999999993</v>
      </c>
      <c r="K18" s="44">
        <f t="shared" si="1"/>
        <v>9.912299561301019E-2</v>
      </c>
      <c r="L18" s="76">
        <v>396</v>
      </c>
      <c r="M18" s="122">
        <v>953636</v>
      </c>
      <c r="N18" s="122">
        <v>162869</v>
      </c>
      <c r="O18" s="167">
        <v>124159.71599999999</v>
      </c>
      <c r="P18" s="124">
        <f t="shared" si="2"/>
        <v>0.15082021177280922</v>
      </c>
      <c r="Q18" s="76">
        <v>402</v>
      </c>
      <c r="R18" s="122">
        <v>885186</v>
      </c>
      <c r="S18" s="122">
        <v>175794</v>
      </c>
      <c r="T18" s="167">
        <v>124408.56599999999</v>
      </c>
      <c r="U18" s="124">
        <f t="shared" si="3"/>
        <v>0.15473105350295471</v>
      </c>
      <c r="V18" s="76">
        <v>568</v>
      </c>
      <c r="W18" s="122">
        <v>906567</v>
      </c>
      <c r="X18" s="122">
        <v>196383</v>
      </c>
      <c r="Y18" s="167">
        <v>139440.76999999999</v>
      </c>
      <c r="Z18" s="124">
        <f t="shared" si="4"/>
        <v>0.18705461880866331</v>
      </c>
    </row>
    <row r="19" spans="1:26" ht="12.75" hidden="1" customHeight="1" x14ac:dyDescent="0.2">
      <c r="B19" s="30"/>
      <c r="C19" s="6"/>
      <c r="D19" s="6"/>
      <c r="E19" s="150"/>
      <c r="F19" s="31"/>
      <c r="G19" s="41"/>
      <c r="H19" s="42"/>
      <c r="I19" s="42"/>
      <c r="J19" s="160"/>
      <c r="K19" s="44"/>
      <c r="L19" s="76"/>
      <c r="M19" s="122"/>
      <c r="N19" s="122"/>
      <c r="O19" s="167"/>
      <c r="P19" s="124"/>
      <c r="Q19" s="76"/>
      <c r="R19" s="122"/>
      <c r="S19" s="122"/>
      <c r="T19" s="167"/>
      <c r="U19" s="124"/>
      <c r="V19" s="76"/>
      <c r="W19" s="122"/>
      <c r="X19" s="122"/>
      <c r="Y19" s="167"/>
      <c r="Z19" s="124"/>
    </row>
    <row r="20" spans="1:26" ht="12.75" hidden="1" customHeight="1" x14ac:dyDescent="0.2">
      <c r="B20" s="30"/>
      <c r="C20" s="6"/>
      <c r="D20" s="6"/>
      <c r="E20" s="150"/>
      <c r="F20" s="31"/>
      <c r="G20" s="41"/>
      <c r="H20" s="42"/>
      <c r="I20" s="42"/>
      <c r="J20" s="160"/>
      <c r="K20" s="44"/>
      <c r="L20" s="76"/>
      <c r="M20" s="122"/>
      <c r="N20" s="122"/>
      <c r="O20" s="167"/>
      <c r="P20" s="124"/>
      <c r="Q20" s="76"/>
      <c r="R20" s="122"/>
      <c r="S20" s="122"/>
      <c r="T20" s="167"/>
      <c r="U20" s="124"/>
      <c r="V20" s="76"/>
      <c r="W20" s="122"/>
      <c r="X20" s="122"/>
      <c r="Y20" s="167"/>
      <c r="Z20" s="124"/>
    </row>
    <row r="21" spans="1:26" ht="12.75" hidden="1" customHeight="1" x14ac:dyDescent="0.2">
      <c r="B21" s="30"/>
      <c r="C21" s="6"/>
      <c r="D21" s="6"/>
      <c r="E21" s="150"/>
      <c r="F21" s="31"/>
      <c r="G21" s="41"/>
      <c r="H21" s="42"/>
      <c r="I21" s="42"/>
      <c r="J21" s="160"/>
      <c r="K21" s="44"/>
      <c r="L21" s="76"/>
      <c r="M21" s="122"/>
      <c r="N21" s="122"/>
      <c r="O21" s="167"/>
      <c r="P21" s="124"/>
      <c r="Q21" s="76"/>
      <c r="R21" s="122"/>
      <c r="S21" s="122"/>
      <c r="T21" s="167"/>
      <c r="U21" s="124"/>
      <c r="V21" s="76"/>
      <c r="W21" s="122"/>
      <c r="X21" s="122"/>
      <c r="Y21" s="167"/>
      <c r="Z21" s="124"/>
    </row>
    <row r="22" spans="1:26" ht="12.75" hidden="1" customHeight="1" x14ac:dyDescent="0.2">
      <c r="B22" s="30"/>
      <c r="C22" s="6"/>
      <c r="D22" s="6"/>
      <c r="E22" s="150"/>
      <c r="F22" s="31"/>
      <c r="G22" s="41"/>
      <c r="H22" s="42"/>
      <c r="I22" s="42"/>
      <c r="J22" s="160"/>
      <c r="K22" s="44"/>
      <c r="L22" s="76"/>
      <c r="M22" s="122"/>
      <c r="N22" s="122"/>
      <c r="O22" s="167"/>
      <c r="P22" s="124"/>
      <c r="Q22" s="76"/>
      <c r="R22" s="122"/>
      <c r="S22" s="122"/>
      <c r="T22" s="167"/>
      <c r="U22" s="124"/>
      <c r="V22" s="76"/>
      <c r="W22" s="122"/>
      <c r="X22" s="122"/>
      <c r="Y22" s="167"/>
      <c r="Z22" s="124"/>
    </row>
    <row r="23" spans="1:26" ht="12.75" hidden="1" customHeight="1" x14ac:dyDescent="0.2">
      <c r="B23" s="30"/>
      <c r="C23" s="6"/>
      <c r="D23" s="6"/>
      <c r="E23" s="150"/>
      <c r="F23" s="31"/>
      <c r="G23" s="41"/>
      <c r="H23" s="42"/>
      <c r="I23" s="42"/>
      <c r="J23" s="160"/>
      <c r="K23" s="44"/>
      <c r="L23" s="76"/>
      <c r="M23" s="122"/>
      <c r="N23" s="122"/>
      <c r="O23" s="167"/>
      <c r="P23" s="124"/>
      <c r="Q23" s="76"/>
      <c r="R23" s="122"/>
      <c r="S23" s="122"/>
      <c r="T23" s="167"/>
      <c r="U23" s="124"/>
      <c r="V23" s="76"/>
      <c r="W23" s="122"/>
      <c r="X23" s="122"/>
      <c r="Y23" s="167"/>
      <c r="Z23" s="124"/>
    </row>
    <row r="24" spans="1:26" ht="12.75" hidden="1" customHeight="1" x14ac:dyDescent="0.2">
      <c r="B24" s="30"/>
      <c r="C24" s="6"/>
      <c r="D24" s="6"/>
      <c r="E24" s="150"/>
      <c r="F24" s="31"/>
      <c r="G24" s="41"/>
      <c r="H24" s="42"/>
      <c r="I24" s="42"/>
      <c r="J24" s="160"/>
      <c r="K24" s="44"/>
      <c r="L24" s="76"/>
      <c r="M24" s="122"/>
      <c r="N24" s="122"/>
      <c r="O24" s="167"/>
      <c r="P24" s="124"/>
      <c r="Q24" s="76"/>
      <c r="R24" s="122"/>
      <c r="S24" s="122"/>
      <c r="T24" s="167"/>
      <c r="U24" s="124"/>
      <c r="V24" s="76"/>
      <c r="W24" s="122"/>
      <c r="X24" s="122"/>
      <c r="Y24" s="167"/>
      <c r="Z24" s="124"/>
    </row>
    <row r="25" spans="1:26" ht="12.75" hidden="1" customHeight="1" x14ac:dyDescent="0.2">
      <c r="B25" s="30"/>
      <c r="C25" s="6"/>
      <c r="D25" s="6"/>
      <c r="E25" s="150"/>
      <c r="F25" s="31"/>
      <c r="G25" s="41"/>
      <c r="H25" s="42"/>
      <c r="I25" s="42"/>
      <c r="J25" s="160"/>
      <c r="K25" s="44"/>
      <c r="L25" s="76"/>
      <c r="M25" s="122"/>
      <c r="N25" s="122"/>
      <c r="O25" s="167"/>
      <c r="P25" s="124"/>
      <c r="Q25" s="76"/>
      <c r="R25" s="122"/>
      <c r="S25" s="122"/>
      <c r="T25" s="167"/>
      <c r="U25" s="124"/>
      <c r="V25" s="76"/>
      <c r="W25" s="122"/>
      <c r="X25" s="122"/>
      <c r="Y25" s="167"/>
      <c r="Z25" s="124"/>
    </row>
    <row r="26" spans="1:26" ht="12.75" hidden="1" customHeight="1" x14ac:dyDescent="0.2">
      <c r="B26" s="30"/>
      <c r="C26" s="6"/>
      <c r="D26" s="6"/>
      <c r="E26" s="150"/>
      <c r="F26" s="31"/>
      <c r="G26" s="41"/>
      <c r="H26" s="42"/>
      <c r="I26" s="42"/>
      <c r="J26" s="160"/>
      <c r="K26" s="44"/>
      <c r="L26" s="76"/>
      <c r="M26" s="122"/>
      <c r="N26" s="122"/>
      <c r="O26" s="167"/>
      <c r="P26" s="124"/>
      <c r="Q26" s="76"/>
      <c r="R26" s="122"/>
      <c r="S26" s="122"/>
      <c r="T26" s="167"/>
      <c r="U26" s="124"/>
      <c r="V26" s="76"/>
      <c r="W26" s="122"/>
      <c r="X26" s="122"/>
      <c r="Y26" s="167"/>
      <c r="Z26" s="124"/>
    </row>
    <row r="27" spans="1:26" ht="12.75" hidden="1" customHeight="1" x14ac:dyDescent="0.2">
      <c r="B27" s="30"/>
      <c r="C27" s="6"/>
      <c r="D27" s="6"/>
      <c r="E27" s="150"/>
      <c r="F27" s="31"/>
      <c r="G27" s="41"/>
      <c r="H27" s="42"/>
      <c r="I27" s="42"/>
      <c r="J27" s="160"/>
      <c r="K27" s="44"/>
      <c r="L27" s="76"/>
      <c r="M27" s="122"/>
      <c r="N27" s="122"/>
      <c r="O27" s="167"/>
      <c r="P27" s="124"/>
      <c r="Q27" s="76"/>
      <c r="R27" s="122"/>
      <c r="S27" s="122"/>
      <c r="T27" s="167"/>
      <c r="U27" s="124"/>
      <c r="V27" s="76"/>
      <c r="W27" s="122"/>
      <c r="X27" s="122"/>
      <c r="Y27" s="167"/>
      <c r="Z27" s="124"/>
    </row>
    <row r="28" spans="1:26" ht="12.75" hidden="1" customHeight="1" x14ac:dyDescent="0.2">
      <c r="B28" s="30"/>
      <c r="C28" s="6"/>
      <c r="D28" s="6"/>
      <c r="E28" s="150"/>
      <c r="F28" s="31"/>
      <c r="G28" s="41"/>
      <c r="H28" s="42"/>
      <c r="I28" s="42"/>
      <c r="J28" s="160"/>
      <c r="K28" s="44"/>
      <c r="L28" s="76"/>
      <c r="M28" s="122"/>
      <c r="N28" s="122"/>
      <c r="O28" s="167"/>
      <c r="P28" s="124"/>
      <c r="Q28" s="76"/>
      <c r="R28" s="122"/>
      <c r="S28" s="122"/>
      <c r="T28" s="167"/>
      <c r="U28" s="124"/>
      <c r="V28" s="76"/>
      <c r="W28" s="122"/>
      <c r="X28" s="122"/>
      <c r="Y28" s="167"/>
      <c r="Z28" s="124"/>
    </row>
    <row r="29" spans="1:26" ht="12.75" hidden="1" customHeight="1" x14ac:dyDescent="0.2">
      <c r="B29" s="30"/>
      <c r="C29" s="6"/>
      <c r="D29" s="6"/>
      <c r="E29" s="150"/>
      <c r="F29" s="31"/>
      <c r="G29" s="41"/>
      <c r="H29" s="42"/>
      <c r="I29" s="42"/>
      <c r="J29" s="160"/>
      <c r="K29" s="44"/>
      <c r="L29" s="76"/>
      <c r="M29" s="122"/>
      <c r="N29" s="122"/>
      <c r="O29" s="167"/>
      <c r="P29" s="124"/>
      <c r="Q29" s="76"/>
      <c r="R29" s="122"/>
      <c r="S29" s="122"/>
      <c r="T29" s="167"/>
      <c r="U29" s="124"/>
      <c r="V29" s="76"/>
      <c r="W29" s="122"/>
      <c r="X29" s="122"/>
      <c r="Y29" s="167"/>
      <c r="Z29" s="124"/>
    </row>
    <row r="30" spans="1:26" ht="12.75" hidden="1" customHeight="1" x14ac:dyDescent="0.2">
      <c r="B30" s="30"/>
      <c r="C30" s="6"/>
      <c r="D30" s="6"/>
      <c r="E30" s="150"/>
      <c r="F30" s="31"/>
      <c r="G30" s="41"/>
      <c r="H30" s="42"/>
      <c r="I30" s="42"/>
      <c r="J30" s="160"/>
      <c r="K30" s="44"/>
      <c r="L30" s="76"/>
      <c r="M30" s="122"/>
      <c r="N30" s="122"/>
      <c r="O30" s="167"/>
      <c r="P30" s="124"/>
      <c r="Q30" s="76"/>
      <c r="R30" s="122"/>
      <c r="S30" s="122"/>
      <c r="T30" s="167"/>
      <c r="U30" s="124"/>
      <c r="V30" s="76"/>
      <c r="W30" s="122"/>
      <c r="X30" s="122"/>
      <c r="Y30" s="167"/>
      <c r="Z30" s="124"/>
    </row>
    <row r="31" spans="1:26" ht="12.75" hidden="1" customHeight="1" x14ac:dyDescent="0.2">
      <c r="B31" s="30"/>
      <c r="C31" s="6"/>
      <c r="D31" s="6"/>
      <c r="E31" s="150"/>
      <c r="F31" s="31"/>
      <c r="G31" s="41"/>
      <c r="H31" s="42"/>
      <c r="I31" s="42"/>
      <c r="J31" s="160"/>
      <c r="K31" s="44"/>
      <c r="L31" s="76"/>
      <c r="M31" s="122"/>
      <c r="N31" s="122"/>
      <c r="O31" s="167"/>
      <c r="P31" s="124"/>
      <c r="Q31" s="76"/>
      <c r="R31" s="122"/>
      <c r="S31" s="122"/>
      <c r="T31" s="167"/>
      <c r="U31" s="124"/>
      <c r="V31" s="76"/>
      <c r="W31" s="122"/>
      <c r="X31" s="122"/>
      <c r="Y31" s="167"/>
      <c r="Z31" s="124"/>
    </row>
    <row r="32" spans="1:26" ht="12.75" hidden="1" customHeight="1" x14ac:dyDescent="0.2">
      <c r="B32" s="30"/>
      <c r="C32" s="6"/>
      <c r="D32" s="6"/>
      <c r="E32" s="150"/>
      <c r="F32" s="31"/>
      <c r="G32" s="41"/>
      <c r="H32" s="42"/>
      <c r="I32" s="42"/>
      <c r="J32" s="160"/>
      <c r="K32" s="44"/>
      <c r="L32" s="76"/>
      <c r="M32" s="122"/>
      <c r="N32" s="122"/>
      <c r="O32" s="167"/>
      <c r="P32" s="124"/>
      <c r="Q32" s="76"/>
      <c r="R32" s="122"/>
      <c r="S32" s="122"/>
      <c r="T32" s="167"/>
      <c r="U32" s="124"/>
      <c r="V32" s="76"/>
      <c r="W32" s="122"/>
      <c r="X32" s="122"/>
      <c r="Y32" s="167"/>
      <c r="Z32" s="124"/>
    </row>
    <row r="33" spans="1:26" ht="12.75" hidden="1" customHeight="1" x14ac:dyDescent="0.2">
      <c r="B33" s="30"/>
      <c r="C33" s="6"/>
      <c r="D33" s="6"/>
      <c r="E33" s="150"/>
      <c r="F33" s="31"/>
      <c r="G33" s="41"/>
      <c r="H33" s="42"/>
      <c r="I33" s="42"/>
      <c r="J33" s="160"/>
      <c r="K33" s="44"/>
      <c r="L33" s="76"/>
      <c r="M33" s="122"/>
      <c r="N33" s="122"/>
      <c r="O33" s="167"/>
      <c r="P33" s="124"/>
      <c r="Q33" s="76"/>
      <c r="R33" s="122"/>
      <c r="S33" s="122"/>
      <c r="T33" s="167"/>
      <c r="U33" s="124"/>
      <c r="V33" s="76"/>
      <c r="W33" s="122"/>
      <c r="X33" s="122"/>
      <c r="Y33" s="167"/>
      <c r="Z33" s="124"/>
    </row>
    <row r="34" spans="1:26" ht="12.75" hidden="1" customHeight="1" x14ac:dyDescent="0.2">
      <c r="B34" s="30"/>
      <c r="C34" s="6"/>
      <c r="D34" s="6"/>
      <c r="E34" s="150"/>
      <c r="F34" s="31"/>
      <c r="G34" s="41"/>
      <c r="H34" s="42"/>
      <c r="I34" s="42"/>
      <c r="J34" s="160"/>
      <c r="K34" s="44"/>
      <c r="L34" s="76"/>
      <c r="M34" s="122"/>
      <c r="N34" s="122"/>
      <c r="O34" s="167"/>
      <c r="P34" s="124"/>
      <c r="Q34" s="76"/>
      <c r="R34" s="122"/>
      <c r="S34" s="122"/>
      <c r="T34" s="167"/>
      <c r="U34" s="124"/>
      <c r="V34" s="76"/>
      <c r="W34" s="122"/>
      <c r="X34" s="122"/>
      <c r="Y34" s="167"/>
      <c r="Z34" s="124"/>
    </row>
    <row r="35" spans="1:26" ht="12.75" hidden="1" customHeight="1" x14ac:dyDescent="0.2">
      <c r="B35" s="30"/>
      <c r="C35" s="6"/>
      <c r="D35" s="6"/>
      <c r="E35" s="150"/>
      <c r="F35" s="31"/>
      <c r="G35" s="41"/>
      <c r="H35" s="42"/>
      <c r="I35" s="42"/>
      <c r="J35" s="160"/>
      <c r="K35" s="44"/>
      <c r="L35" s="76"/>
      <c r="M35" s="122"/>
      <c r="N35" s="122"/>
      <c r="O35" s="167"/>
      <c r="P35" s="124"/>
      <c r="Q35" s="76"/>
      <c r="R35" s="122"/>
      <c r="S35" s="122"/>
      <c r="T35" s="167"/>
      <c r="U35" s="124"/>
      <c r="V35" s="76"/>
      <c r="W35" s="122"/>
      <c r="X35" s="122"/>
      <c r="Y35" s="167"/>
      <c r="Z35" s="124"/>
    </row>
    <row r="36" spans="1:26" x14ac:dyDescent="0.2">
      <c r="A36" s="115" t="s">
        <v>2</v>
      </c>
      <c r="B36" s="32">
        <f>SUM(B$12:B$35)</f>
        <v>1654</v>
      </c>
      <c r="C36" s="7">
        <f t="shared" ref="C36:E36" si="5">SUM(C$12:C$35)</f>
        <v>4175912</v>
      </c>
      <c r="D36" s="7">
        <f t="shared" si="5"/>
        <v>917491</v>
      </c>
      <c r="E36" s="151">
        <f t="shared" si="5"/>
        <v>903287.78300000005</v>
      </c>
      <c r="F36" s="64">
        <f>SUM(F$12:F$35)</f>
        <v>0.99999999999999989</v>
      </c>
      <c r="G36" s="45">
        <f>SUM(G$12:G$35)</f>
        <v>1682</v>
      </c>
      <c r="H36" s="65">
        <f t="shared" ref="H36:J36" si="6">SUM(H$12:H$35)</f>
        <v>4050094</v>
      </c>
      <c r="I36" s="65">
        <f t="shared" si="6"/>
        <v>888825</v>
      </c>
      <c r="J36" s="161">
        <f t="shared" si="6"/>
        <v>860065.13899999997</v>
      </c>
      <c r="K36" s="66">
        <f>SUM(K$12:K$35)</f>
        <v>1</v>
      </c>
      <c r="L36" s="77">
        <f>SUM(L$12:L$35)</f>
        <v>1743</v>
      </c>
      <c r="M36" s="125">
        <f t="shared" ref="M36:O36" si="7">SUM(M$12:M$35)</f>
        <v>4038155</v>
      </c>
      <c r="N36" s="125">
        <f t="shared" si="7"/>
        <v>878601</v>
      </c>
      <c r="O36" s="168">
        <f t="shared" si="7"/>
        <v>823229.95400000003</v>
      </c>
      <c r="P36" s="127">
        <f>SUM(P$12:P$35)</f>
        <v>1</v>
      </c>
      <c r="Q36" s="77">
        <f>SUM(Q$12:Q$35)</f>
        <v>1845</v>
      </c>
      <c r="R36" s="125">
        <f t="shared" ref="R36:T36" si="8">SUM(R$12:R$35)</f>
        <v>4004037</v>
      </c>
      <c r="S36" s="125">
        <f t="shared" si="8"/>
        <v>868818</v>
      </c>
      <c r="T36" s="168">
        <f t="shared" si="8"/>
        <v>804031.01500000001</v>
      </c>
      <c r="U36" s="127">
        <f>SUM(U$12:U$35)</f>
        <v>1</v>
      </c>
      <c r="V36" s="77">
        <f t="shared" ref="V36:Z36" si="9">SUM(V$12:V$35)</f>
        <v>1905</v>
      </c>
      <c r="W36" s="125">
        <f t="shared" si="9"/>
        <v>3932748</v>
      </c>
      <c r="X36" s="125">
        <f t="shared" si="9"/>
        <v>943332</v>
      </c>
      <c r="Y36" s="168">
        <f t="shared" si="9"/>
        <v>745454.83499999996</v>
      </c>
      <c r="Z36" s="127">
        <f t="shared" si="9"/>
        <v>1</v>
      </c>
    </row>
    <row r="39" spans="1:26" ht="12.75" hidden="1" customHeight="1" x14ac:dyDescent="0.2"/>
    <row r="40" spans="1:26" ht="12.75" hidden="1" customHeight="1" x14ac:dyDescent="0.2"/>
    <row r="41" spans="1:26" ht="12.75" hidden="1" customHeight="1" x14ac:dyDescent="0.2"/>
    <row r="42" spans="1:26" ht="12.75" hidden="1" customHeight="1" x14ac:dyDescent="0.2"/>
    <row r="43" spans="1:26" ht="12.75" hidden="1" customHeight="1" x14ac:dyDescent="0.2"/>
    <row r="44" spans="1:26" ht="12.75" hidden="1" customHeight="1" x14ac:dyDescent="0.2"/>
    <row r="45" spans="1:26" ht="12.75" hidden="1" customHeight="1" x14ac:dyDescent="0.2"/>
    <row r="46" spans="1:26" ht="12.75" hidden="1" customHeight="1" x14ac:dyDescent="0.2"/>
    <row r="47" spans="1:26" ht="12.75" hidden="1" customHeight="1" x14ac:dyDescent="0.2"/>
    <row r="48" spans="1:26" ht="12.75" hidden="1" customHeight="1" x14ac:dyDescent="0.2"/>
    <row r="49" spans="1:26" ht="12.75" hidden="1" customHeight="1" x14ac:dyDescent="0.2"/>
    <row r="51" spans="1:26" x14ac:dyDescent="0.2">
      <c r="A51" s="116" t="str">
        <f>Translation!$A$30</f>
        <v>Vorsorgeeinrichtungen ohne Staatsgarantie</v>
      </c>
    </row>
    <row r="52" spans="1:26" x14ac:dyDescent="0.2">
      <c r="A52" s="114" t="str">
        <f>$A$12</f>
        <v>Versicherung / nur Kapitalien</v>
      </c>
      <c r="B52" s="33">
        <v>441</v>
      </c>
      <c r="C52" s="8">
        <v>1167149</v>
      </c>
      <c r="D52" s="8">
        <v>14357</v>
      </c>
      <c r="E52" s="152">
        <v>117481.908</v>
      </c>
      <c r="F52" s="34">
        <f t="shared" ref="F52:F58" si="10">E52/E$76</f>
        <v>0.1527171698755648</v>
      </c>
      <c r="G52" s="47">
        <v>463</v>
      </c>
      <c r="H52" s="48">
        <v>1269385</v>
      </c>
      <c r="I52" s="48">
        <v>14328</v>
      </c>
      <c r="J52" s="162">
        <v>126376.677</v>
      </c>
      <c r="K52" s="50">
        <f t="shared" ref="K52:K58" si="11">J52/J$76</f>
        <v>0.1724601363428887</v>
      </c>
      <c r="L52" s="128">
        <v>494</v>
      </c>
      <c r="M52" s="129">
        <v>1313686</v>
      </c>
      <c r="N52" s="129">
        <v>28272</v>
      </c>
      <c r="O52" s="169">
        <v>129407.921</v>
      </c>
      <c r="P52" s="131">
        <f t="shared" ref="P52:P58" si="12">O52/O$76</f>
        <v>0.18382278397779081</v>
      </c>
      <c r="Q52" s="128">
        <v>537</v>
      </c>
      <c r="R52" s="129">
        <v>1279262</v>
      </c>
      <c r="S52" s="129">
        <v>16076</v>
      </c>
      <c r="T52" s="169">
        <v>131393.85699999999</v>
      </c>
      <c r="U52" s="131">
        <f t="shared" ref="U52:U58" si="13">T52/T$76</f>
        <v>0.19358784281285948</v>
      </c>
      <c r="V52" s="128">
        <v>431</v>
      </c>
      <c r="W52" s="129">
        <v>1352974</v>
      </c>
      <c r="X52" s="129">
        <v>117345</v>
      </c>
      <c r="Y52" s="169">
        <v>71896.744999999995</v>
      </c>
      <c r="Z52" s="131">
        <f t="shared" ref="Z52:Z58" si="14">Y52/Y$76</f>
        <v>0.11659083303144289</v>
      </c>
    </row>
    <row r="53" spans="1:26" x14ac:dyDescent="0.2">
      <c r="A53" s="114" t="str">
        <f>$A$13</f>
        <v>unter 2.00%</v>
      </c>
      <c r="B53" s="33">
        <v>63</v>
      </c>
      <c r="C53" s="8">
        <v>203256</v>
      </c>
      <c r="D53" s="8">
        <v>107626</v>
      </c>
      <c r="E53" s="152">
        <v>102878.70699999999</v>
      </c>
      <c r="F53" s="34">
        <f t="shared" si="10"/>
        <v>0.1337341658895892</v>
      </c>
      <c r="G53" s="47">
        <v>37</v>
      </c>
      <c r="H53" s="48">
        <v>124863</v>
      </c>
      <c r="I53" s="48">
        <v>55680</v>
      </c>
      <c r="J53" s="162">
        <v>47829.548999999999</v>
      </c>
      <c r="K53" s="50">
        <f t="shared" si="11"/>
        <v>6.5270671278679665E-2</v>
      </c>
      <c r="L53" s="128">
        <v>18</v>
      </c>
      <c r="M53" s="129">
        <v>96523</v>
      </c>
      <c r="N53" s="129">
        <v>36825</v>
      </c>
      <c r="O53" s="169">
        <v>35718.125</v>
      </c>
      <c r="P53" s="131">
        <f t="shared" si="12"/>
        <v>5.0737274235065792E-2</v>
      </c>
      <c r="Q53" s="128">
        <v>8</v>
      </c>
      <c r="R53" s="129">
        <v>7967</v>
      </c>
      <c r="S53" s="129">
        <v>932</v>
      </c>
      <c r="T53" s="169">
        <v>2215.0420000000004</v>
      </c>
      <c r="U53" s="131">
        <f t="shared" si="13"/>
        <v>3.263510275977986E-3</v>
      </c>
      <c r="V53" s="128">
        <v>7</v>
      </c>
      <c r="W53" s="129">
        <v>1395</v>
      </c>
      <c r="X53" s="129">
        <v>55</v>
      </c>
      <c r="Y53" s="169">
        <v>563.20699999999999</v>
      </c>
      <c r="Z53" s="131">
        <f t="shared" si="14"/>
        <v>9.1332053070190952E-4</v>
      </c>
    </row>
    <row r="54" spans="1:26" x14ac:dyDescent="0.2">
      <c r="A54" s="114" t="str">
        <f>$A$14</f>
        <v>2.00% – 2.49%</v>
      </c>
      <c r="B54" s="33">
        <v>174</v>
      </c>
      <c r="C54" s="8">
        <v>492455</v>
      </c>
      <c r="D54" s="8">
        <v>239454</v>
      </c>
      <c r="E54" s="152">
        <v>198506.11499999999</v>
      </c>
      <c r="F54" s="34">
        <f t="shared" si="10"/>
        <v>0.2580422177497611</v>
      </c>
      <c r="G54" s="47">
        <v>130</v>
      </c>
      <c r="H54" s="48">
        <v>384497</v>
      </c>
      <c r="I54" s="48">
        <v>197946</v>
      </c>
      <c r="J54" s="162">
        <v>157403.609</v>
      </c>
      <c r="K54" s="50">
        <f t="shared" si="11"/>
        <v>0.21480108919941571</v>
      </c>
      <c r="L54" s="128">
        <v>54</v>
      </c>
      <c r="M54" s="129">
        <v>138121</v>
      </c>
      <c r="N54" s="129">
        <v>76834</v>
      </c>
      <c r="O54" s="169">
        <v>53632.023999999998</v>
      </c>
      <c r="P54" s="131">
        <f t="shared" si="12"/>
        <v>7.6183806105993249E-2</v>
      </c>
      <c r="Q54" s="128">
        <v>25</v>
      </c>
      <c r="R54" s="129">
        <v>90130</v>
      </c>
      <c r="S54" s="129">
        <v>63492</v>
      </c>
      <c r="T54" s="169">
        <v>37405.042000000001</v>
      </c>
      <c r="U54" s="131">
        <f t="shared" si="13"/>
        <v>5.5110349573682188E-2</v>
      </c>
      <c r="V54" s="128">
        <v>19</v>
      </c>
      <c r="W54" s="129">
        <v>49375</v>
      </c>
      <c r="X54" s="129">
        <v>28963</v>
      </c>
      <c r="Y54" s="169">
        <v>18217.803</v>
      </c>
      <c r="Z54" s="131">
        <f t="shared" si="14"/>
        <v>2.9542767586665009E-2</v>
      </c>
    </row>
    <row r="55" spans="1:26" x14ac:dyDescent="0.2">
      <c r="A55" s="114" t="str">
        <f>$A$15</f>
        <v>2.50% – 2.99%</v>
      </c>
      <c r="B55" s="33">
        <v>267</v>
      </c>
      <c r="C55" s="8">
        <v>429299</v>
      </c>
      <c r="D55" s="8">
        <v>166521</v>
      </c>
      <c r="E55" s="152">
        <v>142471.27499999999</v>
      </c>
      <c r="F55" s="34">
        <f t="shared" si="10"/>
        <v>0.18520136655052716</v>
      </c>
      <c r="G55" s="47">
        <v>231</v>
      </c>
      <c r="H55" s="48">
        <v>400595</v>
      </c>
      <c r="I55" s="48">
        <v>176664</v>
      </c>
      <c r="J55" s="162">
        <v>145340.91800000001</v>
      </c>
      <c r="K55" s="50">
        <f t="shared" si="11"/>
        <v>0.19833971844726231</v>
      </c>
      <c r="L55" s="128">
        <v>156</v>
      </c>
      <c r="M55" s="129">
        <v>353679</v>
      </c>
      <c r="N55" s="129">
        <v>183077</v>
      </c>
      <c r="O55" s="169">
        <v>142203.91399999999</v>
      </c>
      <c r="P55" s="131">
        <f t="shared" si="12"/>
        <v>0.20199937656071562</v>
      </c>
      <c r="Q55" s="128">
        <v>90</v>
      </c>
      <c r="R55" s="129">
        <v>217223</v>
      </c>
      <c r="S55" s="129">
        <v>114249</v>
      </c>
      <c r="T55" s="169">
        <v>102887.31200000001</v>
      </c>
      <c r="U55" s="131">
        <f t="shared" si="13"/>
        <v>0.15158800599706601</v>
      </c>
      <c r="V55" s="128">
        <v>75</v>
      </c>
      <c r="W55" s="129">
        <v>189128</v>
      </c>
      <c r="X55" s="129">
        <v>104219</v>
      </c>
      <c r="Y55" s="169">
        <v>124707.152</v>
      </c>
      <c r="Z55" s="131">
        <f t="shared" si="14"/>
        <v>0.20223044501748683</v>
      </c>
    </row>
    <row r="56" spans="1:26" x14ac:dyDescent="0.2">
      <c r="A56" s="114" t="str">
        <f>$A$16</f>
        <v>3.00% – 3.49%</v>
      </c>
      <c r="B56" s="33">
        <v>173</v>
      </c>
      <c r="C56" s="8">
        <v>301040</v>
      </c>
      <c r="D56" s="8">
        <v>59047</v>
      </c>
      <c r="E56" s="152">
        <v>62295.985000000001</v>
      </c>
      <c r="F56" s="34">
        <f t="shared" si="10"/>
        <v>8.0979843499057208E-2</v>
      </c>
      <c r="G56" s="47">
        <v>173</v>
      </c>
      <c r="H56" s="48">
        <v>254355</v>
      </c>
      <c r="I56" s="48">
        <v>79991</v>
      </c>
      <c r="J56" s="162">
        <v>83086.489000000001</v>
      </c>
      <c r="K56" s="50">
        <f t="shared" si="11"/>
        <v>0.11338411138308316</v>
      </c>
      <c r="L56" s="128">
        <v>274</v>
      </c>
      <c r="M56" s="129">
        <v>408851</v>
      </c>
      <c r="N56" s="129">
        <v>166204</v>
      </c>
      <c r="O56" s="169">
        <v>138870.93</v>
      </c>
      <c r="P56" s="131">
        <f t="shared" si="12"/>
        <v>0.19726490286622336</v>
      </c>
      <c r="Q56" s="128">
        <v>384</v>
      </c>
      <c r="R56" s="129">
        <v>551132</v>
      </c>
      <c r="S56" s="129">
        <v>191335</v>
      </c>
      <c r="T56" s="169">
        <v>154514.64600000001</v>
      </c>
      <c r="U56" s="131">
        <f t="shared" si="13"/>
        <v>0.22765262916463919</v>
      </c>
      <c r="V56" s="128">
        <v>339</v>
      </c>
      <c r="W56" s="129">
        <v>476073</v>
      </c>
      <c r="X56" s="129">
        <v>177654</v>
      </c>
      <c r="Y56" s="169">
        <v>142285.12299999999</v>
      </c>
      <c r="Z56" s="131">
        <f t="shared" si="14"/>
        <v>0.23073563370012531</v>
      </c>
    </row>
    <row r="57" spans="1:26" ht="12.75" customHeight="1" x14ac:dyDescent="0.2">
      <c r="A57" s="114" t="str">
        <f>$A$17</f>
        <v>3.50% – 3.99%</v>
      </c>
      <c r="B57" s="33">
        <v>256</v>
      </c>
      <c r="C57" s="8">
        <v>712568</v>
      </c>
      <c r="D57" s="8">
        <v>98976</v>
      </c>
      <c r="E57" s="152">
        <v>80070.073999999993</v>
      </c>
      <c r="F57" s="34">
        <f t="shared" si="10"/>
        <v>0.10408475058991248</v>
      </c>
      <c r="G57" s="47">
        <v>297</v>
      </c>
      <c r="H57" s="48">
        <v>760624</v>
      </c>
      <c r="I57" s="48">
        <v>117769</v>
      </c>
      <c r="J57" s="162">
        <v>97381.845000000001</v>
      </c>
      <c r="K57" s="50">
        <f t="shared" si="11"/>
        <v>0.13289229203282546</v>
      </c>
      <c r="L57" s="128">
        <v>323</v>
      </c>
      <c r="M57" s="129">
        <v>533650</v>
      </c>
      <c r="N57" s="129">
        <v>115838</v>
      </c>
      <c r="O57" s="169">
        <v>108854.629</v>
      </c>
      <c r="P57" s="131">
        <f t="shared" si="12"/>
        <v>0.15462701816876853</v>
      </c>
      <c r="Q57" s="128">
        <v>368</v>
      </c>
      <c r="R57" s="129">
        <v>720784</v>
      </c>
      <c r="S57" s="129">
        <v>193809</v>
      </c>
      <c r="T57" s="169">
        <v>158446.90100000001</v>
      </c>
      <c r="U57" s="131">
        <f t="shared" si="13"/>
        <v>0.23344617827127728</v>
      </c>
      <c r="V57" s="128">
        <v>429</v>
      </c>
      <c r="W57" s="129">
        <v>699295</v>
      </c>
      <c r="X57" s="129">
        <v>203742</v>
      </c>
      <c r="Y57" s="169">
        <v>153962.826</v>
      </c>
      <c r="Z57" s="131">
        <f t="shared" si="14"/>
        <v>0.24967269574186002</v>
      </c>
    </row>
    <row r="58" spans="1:26" ht="12.75" customHeight="1" x14ac:dyDescent="0.2">
      <c r="A58" s="114" t="str">
        <f>$A$18</f>
        <v>4.00% oder höher</v>
      </c>
      <c r="B58" s="33">
        <v>242</v>
      </c>
      <c r="C58" s="8">
        <v>544422</v>
      </c>
      <c r="D58" s="8">
        <v>75326</v>
      </c>
      <c r="E58" s="152">
        <v>65573.601999999999</v>
      </c>
      <c r="F58" s="34">
        <f t="shared" si="10"/>
        <v>8.5240485845588035E-2</v>
      </c>
      <c r="G58" s="47">
        <v>312</v>
      </c>
      <c r="H58" s="48">
        <v>533735</v>
      </c>
      <c r="I58" s="48">
        <v>96349</v>
      </c>
      <c r="J58" s="162">
        <v>75368.672999999995</v>
      </c>
      <c r="K58" s="50">
        <f t="shared" si="11"/>
        <v>0.10285198131584514</v>
      </c>
      <c r="L58" s="128">
        <v>386</v>
      </c>
      <c r="M58" s="129">
        <v>885302</v>
      </c>
      <c r="N58" s="129">
        <v>127717</v>
      </c>
      <c r="O58" s="169">
        <v>95294.401999999987</v>
      </c>
      <c r="P58" s="131">
        <f t="shared" si="12"/>
        <v>0.13536483808544264</v>
      </c>
      <c r="Q58" s="128">
        <v>390</v>
      </c>
      <c r="R58" s="129">
        <v>798159</v>
      </c>
      <c r="S58" s="129">
        <v>135013</v>
      </c>
      <c r="T58" s="169">
        <v>91867.098999999987</v>
      </c>
      <c r="U58" s="131">
        <f t="shared" si="13"/>
        <v>0.13535148390449792</v>
      </c>
      <c r="V58" s="128">
        <v>547</v>
      </c>
      <c r="W58" s="129">
        <v>806392</v>
      </c>
      <c r="X58" s="129">
        <v>151649</v>
      </c>
      <c r="Y58" s="169">
        <v>105025.788</v>
      </c>
      <c r="Z58" s="131">
        <f t="shared" si="14"/>
        <v>0.17031430439171788</v>
      </c>
    </row>
    <row r="59" spans="1:26" ht="12.75" hidden="1" customHeight="1" x14ac:dyDescent="0.2">
      <c r="A59" s="114">
        <f>$A$19</f>
        <v>0</v>
      </c>
      <c r="B59" s="33"/>
      <c r="C59" s="8"/>
      <c r="D59" s="8"/>
      <c r="E59" s="152"/>
      <c r="F59" s="34"/>
      <c r="G59" s="47"/>
      <c r="H59" s="48"/>
      <c r="I59" s="48"/>
      <c r="J59" s="162"/>
      <c r="K59" s="50"/>
      <c r="L59" s="128"/>
      <c r="M59" s="129"/>
      <c r="N59" s="129"/>
      <c r="O59" s="169"/>
      <c r="P59" s="131"/>
      <c r="Q59" s="128"/>
      <c r="R59" s="129"/>
      <c r="S59" s="129"/>
      <c r="T59" s="169"/>
      <c r="U59" s="131"/>
      <c r="V59" s="128"/>
      <c r="W59" s="129"/>
      <c r="X59" s="129"/>
      <c r="Y59" s="169"/>
      <c r="Z59" s="131"/>
    </row>
    <row r="60" spans="1:26" ht="12.75" hidden="1" customHeight="1" x14ac:dyDescent="0.2">
      <c r="A60" s="114">
        <f>$A$20</f>
        <v>0</v>
      </c>
      <c r="B60" s="33"/>
      <c r="C60" s="8"/>
      <c r="D60" s="8"/>
      <c r="E60" s="152"/>
      <c r="F60" s="34"/>
      <c r="G60" s="47"/>
      <c r="H60" s="48"/>
      <c r="I60" s="48"/>
      <c r="J60" s="162"/>
      <c r="K60" s="50"/>
      <c r="L60" s="128"/>
      <c r="M60" s="129"/>
      <c r="N60" s="129"/>
      <c r="O60" s="169"/>
      <c r="P60" s="131"/>
      <c r="Q60" s="128"/>
      <c r="R60" s="129"/>
      <c r="S60" s="129"/>
      <c r="T60" s="169"/>
      <c r="U60" s="131"/>
      <c r="V60" s="128"/>
      <c r="W60" s="129"/>
      <c r="X60" s="129"/>
      <c r="Y60" s="169"/>
      <c r="Z60" s="131"/>
    </row>
    <row r="61" spans="1:26" ht="12.75" hidden="1" customHeight="1" x14ac:dyDescent="0.2">
      <c r="A61" s="114">
        <f>$A$21</f>
        <v>0</v>
      </c>
      <c r="B61" s="33"/>
      <c r="C61" s="8"/>
      <c r="D61" s="8"/>
      <c r="E61" s="152"/>
      <c r="F61" s="34"/>
      <c r="G61" s="47"/>
      <c r="H61" s="48"/>
      <c r="I61" s="48"/>
      <c r="J61" s="162"/>
      <c r="K61" s="50"/>
      <c r="L61" s="128"/>
      <c r="M61" s="129"/>
      <c r="N61" s="129"/>
      <c r="O61" s="169"/>
      <c r="P61" s="131"/>
      <c r="Q61" s="128"/>
      <c r="R61" s="129"/>
      <c r="S61" s="129"/>
      <c r="T61" s="169"/>
      <c r="U61" s="131"/>
      <c r="V61" s="128"/>
      <c r="W61" s="129"/>
      <c r="X61" s="129"/>
      <c r="Y61" s="169"/>
      <c r="Z61" s="131"/>
    </row>
    <row r="62" spans="1:26" ht="12.75" hidden="1" customHeight="1" x14ac:dyDescent="0.2">
      <c r="A62" s="114">
        <f>$A$22</f>
        <v>0</v>
      </c>
      <c r="B62" s="33"/>
      <c r="C62" s="8"/>
      <c r="D62" s="8"/>
      <c r="E62" s="152"/>
      <c r="F62" s="34"/>
      <c r="G62" s="47"/>
      <c r="H62" s="48"/>
      <c r="I62" s="48"/>
      <c r="J62" s="162"/>
      <c r="K62" s="50"/>
      <c r="L62" s="128"/>
      <c r="M62" s="129"/>
      <c r="N62" s="129"/>
      <c r="O62" s="169"/>
      <c r="P62" s="131"/>
      <c r="Q62" s="128"/>
      <c r="R62" s="129"/>
      <c r="S62" s="129"/>
      <c r="T62" s="169"/>
      <c r="U62" s="131"/>
      <c r="V62" s="128"/>
      <c r="W62" s="129"/>
      <c r="X62" s="129"/>
      <c r="Y62" s="169"/>
      <c r="Z62" s="131"/>
    </row>
    <row r="63" spans="1:26" ht="12.75" hidden="1" customHeight="1" x14ac:dyDescent="0.2">
      <c r="A63" s="114">
        <f>$A$23</f>
        <v>0</v>
      </c>
      <c r="B63" s="33"/>
      <c r="C63" s="8"/>
      <c r="D63" s="8"/>
      <c r="E63" s="152"/>
      <c r="F63" s="34"/>
      <c r="G63" s="47"/>
      <c r="H63" s="48"/>
      <c r="I63" s="48"/>
      <c r="J63" s="162"/>
      <c r="K63" s="50"/>
      <c r="L63" s="128"/>
      <c r="M63" s="129"/>
      <c r="N63" s="129"/>
      <c r="O63" s="169"/>
      <c r="P63" s="131"/>
      <c r="Q63" s="128"/>
      <c r="R63" s="129"/>
      <c r="S63" s="129"/>
      <c r="T63" s="169"/>
      <c r="U63" s="131"/>
      <c r="V63" s="128"/>
      <c r="W63" s="129"/>
      <c r="X63" s="129"/>
      <c r="Y63" s="169"/>
      <c r="Z63" s="131"/>
    </row>
    <row r="64" spans="1:26" ht="12.75" hidden="1" customHeight="1" x14ac:dyDescent="0.2">
      <c r="A64" s="114">
        <f>$A$24</f>
        <v>0</v>
      </c>
      <c r="B64" s="33"/>
      <c r="C64" s="8"/>
      <c r="D64" s="8"/>
      <c r="E64" s="152"/>
      <c r="F64" s="34"/>
      <c r="G64" s="47"/>
      <c r="H64" s="48"/>
      <c r="I64" s="48"/>
      <c r="J64" s="162"/>
      <c r="K64" s="50"/>
      <c r="L64" s="128"/>
      <c r="M64" s="129"/>
      <c r="N64" s="129"/>
      <c r="O64" s="169"/>
      <c r="P64" s="131"/>
      <c r="Q64" s="128"/>
      <c r="R64" s="129"/>
      <c r="S64" s="129"/>
      <c r="T64" s="169"/>
      <c r="U64" s="131"/>
      <c r="V64" s="128"/>
      <c r="W64" s="129"/>
      <c r="X64" s="129"/>
      <c r="Y64" s="169"/>
      <c r="Z64" s="131"/>
    </row>
    <row r="65" spans="1:26" ht="12.75" hidden="1" customHeight="1" x14ac:dyDescent="0.2">
      <c r="A65" s="114">
        <f>$A$25</f>
        <v>0</v>
      </c>
      <c r="B65" s="33"/>
      <c r="C65" s="8"/>
      <c r="D65" s="8"/>
      <c r="E65" s="152"/>
      <c r="F65" s="34"/>
      <c r="G65" s="47"/>
      <c r="H65" s="48"/>
      <c r="I65" s="48"/>
      <c r="J65" s="162"/>
      <c r="K65" s="50"/>
      <c r="L65" s="128"/>
      <c r="M65" s="129"/>
      <c r="N65" s="129"/>
      <c r="O65" s="169"/>
      <c r="P65" s="131"/>
      <c r="Q65" s="128"/>
      <c r="R65" s="129"/>
      <c r="S65" s="129"/>
      <c r="T65" s="169"/>
      <c r="U65" s="131"/>
      <c r="V65" s="128"/>
      <c r="W65" s="129"/>
      <c r="X65" s="129"/>
      <c r="Y65" s="169"/>
      <c r="Z65" s="131"/>
    </row>
    <row r="66" spans="1:26" ht="12.75" hidden="1" customHeight="1" x14ac:dyDescent="0.2">
      <c r="A66" s="114">
        <f>$A$26</f>
        <v>0</v>
      </c>
      <c r="B66" s="33"/>
      <c r="C66" s="8"/>
      <c r="D66" s="8"/>
      <c r="E66" s="152"/>
      <c r="F66" s="34"/>
      <c r="G66" s="47"/>
      <c r="H66" s="48"/>
      <c r="I66" s="48"/>
      <c r="J66" s="162"/>
      <c r="K66" s="50"/>
      <c r="L66" s="128"/>
      <c r="M66" s="129"/>
      <c r="N66" s="129"/>
      <c r="O66" s="169"/>
      <c r="P66" s="131"/>
      <c r="Q66" s="128"/>
      <c r="R66" s="129"/>
      <c r="S66" s="129"/>
      <c r="T66" s="169"/>
      <c r="U66" s="131"/>
      <c r="V66" s="128"/>
      <c r="W66" s="129"/>
      <c r="X66" s="129"/>
      <c r="Y66" s="169"/>
      <c r="Z66" s="131"/>
    </row>
    <row r="67" spans="1:26" ht="12.75" hidden="1" customHeight="1" x14ac:dyDescent="0.2">
      <c r="A67" s="114">
        <f>$A$27</f>
        <v>0</v>
      </c>
      <c r="B67" s="33"/>
      <c r="C67" s="8"/>
      <c r="D67" s="8"/>
      <c r="E67" s="152"/>
      <c r="F67" s="34"/>
      <c r="G67" s="47"/>
      <c r="H67" s="48"/>
      <c r="I67" s="48"/>
      <c r="J67" s="162"/>
      <c r="K67" s="50"/>
      <c r="L67" s="128"/>
      <c r="M67" s="129"/>
      <c r="N67" s="129"/>
      <c r="O67" s="169"/>
      <c r="P67" s="131"/>
      <c r="Q67" s="128"/>
      <c r="R67" s="129"/>
      <c r="S67" s="129"/>
      <c r="T67" s="169"/>
      <c r="U67" s="131"/>
      <c r="V67" s="128"/>
      <c r="W67" s="129"/>
      <c r="X67" s="129"/>
      <c r="Y67" s="169"/>
      <c r="Z67" s="131"/>
    </row>
    <row r="68" spans="1:26" ht="12.75" hidden="1" customHeight="1" x14ac:dyDescent="0.2">
      <c r="A68" s="114">
        <f>$A$28</f>
        <v>0</v>
      </c>
      <c r="B68" s="33"/>
      <c r="C68" s="8"/>
      <c r="D68" s="8"/>
      <c r="E68" s="152"/>
      <c r="F68" s="34"/>
      <c r="G68" s="47"/>
      <c r="H68" s="48"/>
      <c r="I68" s="48"/>
      <c r="J68" s="162"/>
      <c r="K68" s="50"/>
      <c r="L68" s="128"/>
      <c r="M68" s="129"/>
      <c r="N68" s="129"/>
      <c r="O68" s="169"/>
      <c r="P68" s="131"/>
      <c r="Q68" s="128"/>
      <c r="R68" s="129"/>
      <c r="S68" s="129"/>
      <c r="T68" s="169"/>
      <c r="U68" s="131"/>
      <c r="V68" s="128"/>
      <c r="W68" s="129"/>
      <c r="X68" s="129"/>
      <c r="Y68" s="169"/>
      <c r="Z68" s="131"/>
    </row>
    <row r="69" spans="1:26" ht="12.75" hidden="1" customHeight="1" x14ac:dyDescent="0.2">
      <c r="A69" s="114">
        <f>$A$29</f>
        <v>0</v>
      </c>
      <c r="B69" s="33"/>
      <c r="C69" s="8"/>
      <c r="D69" s="8"/>
      <c r="E69" s="152"/>
      <c r="F69" s="34"/>
      <c r="G69" s="47"/>
      <c r="H69" s="48"/>
      <c r="I69" s="48"/>
      <c r="J69" s="162"/>
      <c r="K69" s="50"/>
      <c r="L69" s="128"/>
      <c r="M69" s="129"/>
      <c r="N69" s="129"/>
      <c r="O69" s="169"/>
      <c r="P69" s="131"/>
      <c r="Q69" s="128"/>
      <c r="R69" s="129"/>
      <c r="S69" s="129"/>
      <c r="T69" s="169"/>
      <c r="U69" s="131"/>
      <c r="V69" s="128"/>
      <c r="W69" s="129"/>
      <c r="X69" s="129"/>
      <c r="Y69" s="169"/>
      <c r="Z69" s="131"/>
    </row>
    <row r="70" spans="1:26" ht="12.75" hidden="1" customHeight="1" x14ac:dyDescent="0.2">
      <c r="A70" s="114">
        <f>$A$30</f>
        <v>0</v>
      </c>
      <c r="B70" s="33"/>
      <c r="C70" s="8"/>
      <c r="D70" s="8"/>
      <c r="E70" s="152"/>
      <c r="F70" s="34"/>
      <c r="G70" s="47"/>
      <c r="H70" s="48"/>
      <c r="I70" s="48"/>
      <c r="J70" s="162"/>
      <c r="K70" s="50"/>
      <c r="L70" s="128"/>
      <c r="M70" s="129"/>
      <c r="N70" s="129"/>
      <c r="O70" s="169"/>
      <c r="P70" s="131"/>
      <c r="Q70" s="128"/>
      <c r="R70" s="129"/>
      <c r="S70" s="129"/>
      <c r="T70" s="169"/>
      <c r="U70" s="131"/>
      <c r="V70" s="128"/>
      <c r="W70" s="129"/>
      <c r="X70" s="129"/>
      <c r="Y70" s="169"/>
      <c r="Z70" s="131"/>
    </row>
    <row r="71" spans="1:26" ht="12.75" hidden="1" customHeight="1" x14ac:dyDescent="0.2">
      <c r="A71" s="114">
        <f>$A$31</f>
        <v>0</v>
      </c>
      <c r="B71" s="33"/>
      <c r="C71" s="8"/>
      <c r="D71" s="8"/>
      <c r="E71" s="152"/>
      <c r="F71" s="34"/>
      <c r="G71" s="47"/>
      <c r="H71" s="48"/>
      <c r="I71" s="48"/>
      <c r="J71" s="162"/>
      <c r="K71" s="50"/>
      <c r="L71" s="128"/>
      <c r="M71" s="129"/>
      <c r="N71" s="129"/>
      <c r="O71" s="169"/>
      <c r="P71" s="131"/>
      <c r="Q71" s="128"/>
      <c r="R71" s="129"/>
      <c r="S71" s="129"/>
      <c r="T71" s="169"/>
      <c r="U71" s="131"/>
      <c r="V71" s="128"/>
      <c r="W71" s="129"/>
      <c r="X71" s="129"/>
      <c r="Y71" s="169"/>
      <c r="Z71" s="131"/>
    </row>
    <row r="72" spans="1:26" ht="12.75" hidden="1" customHeight="1" x14ac:dyDescent="0.2">
      <c r="A72" s="114">
        <f>$A$32</f>
        <v>0</v>
      </c>
      <c r="B72" s="33"/>
      <c r="C72" s="8"/>
      <c r="D72" s="8"/>
      <c r="E72" s="152"/>
      <c r="F72" s="34"/>
      <c r="G72" s="47"/>
      <c r="H72" s="48"/>
      <c r="I72" s="48"/>
      <c r="J72" s="162"/>
      <c r="K72" s="50"/>
      <c r="L72" s="128"/>
      <c r="M72" s="129"/>
      <c r="N72" s="129"/>
      <c r="O72" s="169"/>
      <c r="P72" s="131"/>
      <c r="Q72" s="128"/>
      <c r="R72" s="129"/>
      <c r="S72" s="129"/>
      <c r="T72" s="169"/>
      <c r="U72" s="131"/>
      <c r="V72" s="128"/>
      <c r="W72" s="129"/>
      <c r="X72" s="129"/>
      <c r="Y72" s="169"/>
      <c r="Z72" s="131"/>
    </row>
    <row r="73" spans="1:26" ht="12.75" hidden="1" customHeight="1" x14ac:dyDescent="0.2">
      <c r="A73" s="114">
        <f>$A$33</f>
        <v>0</v>
      </c>
      <c r="B73" s="33"/>
      <c r="C73" s="8"/>
      <c r="D73" s="8"/>
      <c r="E73" s="152"/>
      <c r="F73" s="34"/>
      <c r="G73" s="47"/>
      <c r="H73" s="48"/>
      <c r="I73" s="48"/>
      <c r="J73" s="162"/>
      <c r="K73" s="50"/>
      <c r="L73" s="128"/>
      <c r="M73" s="129"/>
      <c r="N73" s="129"/>
      <c r="O73" s="169"/>
      <c r="P73" s="131"/>
      <c r="Q73" s="128"/>
      <c r="R73" s="129"/>
      <c r="S73" s="129"/>
      <c r="T73" s="169"/>
      <c r="U73" s="131"/>
      <c r="V73" s="128"/>
      <c r="W73" s="129"/>
      <c r="X73" s="129"/>
      <c r="Y73" s="169"/>
      <c r="Z73" s="131"/>
    </row>
    <row r="74" spans="1:26" ht="12.75" hidden="1" customHeight="1" x14ac:dyDescent="0.2">
      <c r="A74" s="114">
        <f>$A$34</f>
        <v>0</v>
      </c>
      <c r="B74" s="33"/>
      <c r="C74" s="8"/>
      <c r="D74" s="8"/>
      <c r="E74" s="152"/>
      <c r="F74" s="34"/>
      <c r="G74" s="47"/>
      <c r="H74" s="48"/>
      <c r="I74" s="48"/>
      <c r="J74" s="162"/>
      <c r="K74" s="50"/>
      <c r="L74" s="128"/>
      <c r="M74" s="129"/>
      <c r="N74" s="129"/>
      <c r="O74" s="169"/>
      <c r="P74" s="131"/>
      <c r="Q74" s="128"/>
      <c r="R74" s="129"/>
      <c r="S74" s="129"/>
      <c r="T74" s="169"/>
      <c r="U74" s="131"/>
      <c r="V74" s="128"/>
      <c r="W74" s="129"/>
      <c r="X74" s="129"/>
      <c r="Y74" s="169"/>
      <c r="Z74" s="131"/>
    </row>
    <row r="75" spans="1:26" ht="12.75" hidden="1" customHeight="1" x14ac:dyDescent="0.2">
      <c r="B75" s="33"/>
      <c r="C75" s="8"/>
      <c r="D75" s="8"/>
      <c r="E75" s="152"/>
      <c r="F75" s="34"/>
      <c r="G75" s="47"/>
      <c r="H75" s="48"/>
      <c r="I75" s="48"/>
      <c r="J75" s="162"/>
      <c r="K75" s="50"/>
      <c r="L75" s="128"/>
      <c r="M75" s="129"/>
      <c r="N75" s="129"/>
      <c r="O75" s="169"/>
      <c r="P75" s="131"/>
      <c r="Q75" s="128"/>
      <c r="R75" s="129"/>
      <c r="S75" s="129"/>
      <c r="T75" s="169"/>
      <c r="U75" s="131"/>
      <c r="V75" s="128"/>
      <c r="W75" s="129"/>
      <c r="X75" s="129"/>
      <c r="Y75" s="169"/>
      <c r="Z75" s="131"/>
    </row>
    <row r="76" spans="1:26" x14ac:dyDescent="0.2">
      <c r="A76" s="115" t="s">
        <v>2</v>
      </c>
      <c r="B76" s="35">
        <f>SUM(B$52:B$75)</f>
        <v>1616</v>
      </c>
      <c r="C76" s="9">
        <f>SUM(C$52:C$75)</f>
        <v>3850189</v>
      </c>
      <c r="D76" s="9">
        <f>SUM(D$52:D$75)</f>
        <v>761307</v>
      </c>
      <c r="E76" s="153">
        <f>SUM(E$52:E$75)</f>
        <v>769277.66599999997</v>
      </c>
      <c r="F76" s="67">
        <f t="shared" ref="F76" si="15">SUM(F$52:F$75)</f>
        <v>1</v>
      </c>
      <c r="G76" s="51">
        <f>SUM(G$52:G$75)</f>
        <v>1643</v>
      </c>
      <c r="H76" s="68">
        <f>SUM(H$52:H$75)</f>
        <v>3728054</v>
      </c>
      <c r="I76" s="68">
        <f>SUM(I$52:I$75)</f>
        <v>738727</v>
      </c>
      <c r="J76" s="163">
        <f>SUM(J$52:J$75)</f>
        <v>732787.75999999989</v>
      </c>
      <c r="K76" s="69">
        <f t="shared" ref="K76" si="16">SUM(K$52:K$75)</f>
        <v>1</v>
      </c>
      <c r="L76" s="132">
        <f>SUM(L$52:L$75)</f>
        <v>1705</v>
      </c>
      <c r="M76" s="133">
        <f>SUM(M$52:M$75)</f>
        <v>3729812</v>
      </c>
      <c r="N76" s="133">
        <f>SUM(N$52:N$75)</f>
        <v>734767</v>
      </c>
      <c r="O76" s="170">
        <f>SUM(O$52:O$75)</f>
        <v>703981.94499999995</v>
      </c>
      <c r="P76" s="135">
        <f t="shared" ref="P76" si="17">SUM(P$52:P$75)</f>
        <v>1</v>
      </c>
      <c r="Q76" s="132">
        <f>SUM(Q$52:Q$75)</f>
        <v>1802</v>
      </c>
      <c r="R76" s="133">
        <f>SUM(R$52:R$75)</f>
        <v>3664657</v>
      </c>
      <c r="S76" s="133">
        <f>SUM(S$52:S$75)</f>
        <v>714906</v>
      </c>
      <c r="T76" s="170">
        <f>SUM(T$52:T$75)</f>
        <v>678729.89899999998</v>
      </c>
      <c r="U76" s="135">
        <f t="shared" ref="U76:Z76" si="18">SUM(U$52:U$75)</f>
        <v>1</v>
      </c>
      <c r="V76" s="132">
        <f t="shared" si="18"/>
        <v>1847</v>
      </c>
      <c r="W76" s="133">
        <f t="shared" si="18"/>
        <v>3574632</v>
      </c>
      <c r="X76" s="133">
        <f t="shared" si="18"/>
        <v>783627</v>
      </c>
      <c r="Y76" s="170">
        <f t="shared" si="18"/>
        <v>616658.64400000009</v>
      </c>
      <c r="Z76" s="135">
        <f t="shared" si="18"/>
        <v>0.99999999999999989</v>
      </c>
    </row>
    <row r="79" spans="1:26" ht="12.75" hidden="1" customHeight="1" x14ac:dyDescent="0.2"/>
    <row r="80" spans="1:26" ht="12.75" hidden="1" customHeight="1" x14ac:dyDescent="0.2"/>
    <row r="81" spans="1:26" ht="12.75" hidden="1" customHeight="1" x14ac:dyDescent="0.2"/>
    <row r="82" spans="1:26" ht="12.75" hidden="1" customHeight="1" x14ac:dyDescent="0.2"/>
    <row r="83" spans="1:26" ht="12.75" hidden="1" customHeight="1" x14ac:dyDescent="0.2"/>
    <row r="84" spans="1:26" ht="12.75" hidden="1" customHeight="1" x14ac:dyDescent="0.2"/>
    <row r="85" spans="1:26" ht="12.75" hidden="1" customHeight="1" x14ac:dyDescent="0.2"/>
    <row r="86" spans="1:26" ht="12.75" hidden="1" customHeight="1" x14ac:dyDescent="0.2"/>
    <row r="87" spans="1:26" ht="12.75" hidden="1" customHeight="1" x14ac:dyDescent="0.2"/>
    <row r="88" spans="1:26" ht="12.75" hidden="1" customHeight="1" x14ac:dyDescent="0.2"/>
    <row r="89" spans="1:26" ht="12.75" hidden="1" customHeight="1" x14ac:dyDescent="0.2"/>
    <row r="91" spans="1:26" x14ac:dyDescent="0.2">
      <c r="A91" s="117" t="str">
        <f>Translation!$A$31</f>
        <v>Vorsorgeeinrichtungen mit Staatsgarantie</v>
      </c>
    </row>
    <row r="92" spans="1:26" x14ac:dyDescent="0.2">
      <c r="A92" s="114" t="str">
        <f>$A$12</f>
        <v>Versicherung / nur Kapitalien</v>
      </c>
      <c r="B92" s="36">
        <v>0</v>
      </c>
      <c r="C92" s="10">
        <v>0</v>
      </c>
      <c r="D92" s="10">
        <v>0</v>
      </c>
      <c r="E92" s="154">
        <v>0</v>
      </c>
      <c r="F92" s="37">
        <f t="shared" ref="F92:F98" si="19">E92/E$116</f>
        <v>0</v>
      </c>
      <c r="G92" s="53">
        <v>0</v>
      </c>
      <c r="H92" s="54">
        <v>0</v>
      </c>
      <c r="I92" s="54">
        <v>0</v>
      </c>
      <c r="J92" s="164">
        <v>0</v>
      </c>
      <c r="K92" s="56">
        <f t="shared" ref="K92:K98" si="20">J92/J$116</f>
        <v>0</v>
      </c>
      <c r="L92" s="136">
        <v>0</v>
      </c>
      <c r="M92" s="137">
        <v>0</v>
      </c>
      <c r="N92" s="137">
        <v>0</v>
      </c>
      <c r="O92" s="171">
        <v>0</v>
      </c>
      <c r="P92" s="139">
        <f t="shared" ref="P92:P98" si="21">O92/O$116</f>
        <v>0</v>
      </c>
      <c r="Q92" s="136">
        <v>0</v>
      </c>
      <c r="R92" s="137">
        <v>0</v>
      </c>
      <c r="S92" s="137">
        <v>0</v>
      </c>
      <c r="T92" s="171">
        <v>0</v>
      </c>
      <c r="U92" s="139">
        <f t="shared" ref="U92:U98" si="22">T92/T$116</f>
        <v>0</v>
      </c>
      <c r="V92" s="136">
        <v>3</v>
      </c>
      <c r="W92" s="137">
        <v>988</v>
      </c>
      <c r="X92" s="137">
        <v>454</v>
      </c>
      <c r="Y92" s="171">
        <v>232.93100000000001</v>
      </c>
      <c r="Z92" s="139">
        <f t="shared" ref="Z92:Z98" si="23">Y92/Y$116</f>
        <v>1.8085239803403816E-3</v>
      </c>
    </row>
    <row r="93" spans="1:26" x14ac:dyDescent="0.2">
      <c r="A93" s="114" t="str">
        <f>$A$13</f>
        <v>unter 2.00%</v>
      </c>
      <c r="B93" s="36">
        <v>1</v>
      </c>
      <c r="C93" s="10">
        <v>11</v>
      </c>
      <c r="D93" s="10">
        <v>25</v>
      </c>
      <c r="E93" s="154">
        <v>59.777000000000001</v>
      </c>
      <c r="F93" s="37">
        <f t="shared" si="19"/>
        <v>4.4606333714341883E-4</v>
      </c>
      <c r="G93" s="53">
        <v>1</v>
      </c>
      <c r="H93" s="54">
        <v>11</v>
      </c>
      <c r="I93" s="54">
        <v>25</v>
      </c>
      <c r="J93" s="164">
        <v>58.862000000000002</v>
      </c>
      <c r="K93" s="56">
        <f t="shared" si="20"/>
        <v>4.6247023990021046E-4</v>
      </c>
      <c r="L93" s="136">
        <v>1</v>
      </c>
      <c r="M93" s="137">
        <v>11</v>
      </c>
      <c r="N93" s="137">
        <v>26</v>
      </c>
      <c r="O93" s="171">
        <v>57.723999999999997</v>
      </c>
      <c r="P93" s="139">
        <f t="shared" si="21"/>
        <v>4.8406678219675762E-4</v>
      </c>
      <c r="Q93" s="136">
        <v>0</v>
      </c>
      <c r="R93" s="137">
        <v>0</v>
      </c>
      <c r="S93" s="137">
        <v>0</v>
      </c>
      <c r="T93" s="171">
        <v>0</v>
      </c>
      <c r="U93" s="139">
        <f t="shared" si="22"/>
        <v>0</v>
      </c>
      <c r="V93" s="136">
        <v>0</v>
      </c>
      <c r="W93" s="137">
        <v>0</v>
      </c>
      <c r="X93" s="137">
        <v>0</v>
      </c>
      <c r="Y93" s="171">
        <v>0</v>
      </c>
      <c r="Z93" s="139">
        <f t="shared" si="23"/>
        <v>0</v>
      </c>
    </row>
    <row r="94" spans="1:26" x14ac:dyDescent="0.2">
      <c r="A94" s="114" t="str">
        <f>$A$14</f>
        <v>2.00% – 2.49%</v>
      </c>
      <c r="B94" s="36">
        <v>7</v>
      </c>
      <c r="C94" s="10">
        <v>58598</v>
      </c>
      <c r="D94" s="10">
        <v>27138</v>
      </c>
      <c r="E94" s="154">
        <v>25389.248</v>
      </c>
      <c r="F94" s="37">
        <f t="shared" si="19"/>
        <v>0.18945769594395623</v>
      </c>
      <c r="G94" s="53">
        <v>3</v>
      </c>
      <c r="H94" s="54">
        <v>42222</v>
      </c>
      <c r="I94" s="54">
        <v>16033</v>
      </c>
      <c r="J94" s="164">
        <v>16389.789000000001</v>
      </c>
      <c r="K94" s="56">
        <f t="shared" si="20"/>
        <v>0.12877220703924144</v>
      </c>
      <c r="L94" s="136">
        <v>1</v>
      </c>
      <c r="M94" s="137">
        <v>16191</v>
      </c>
      <c r="N94" s="137">
        <v>7367</v>
      </c>
      <c r="O94" s="171">
        <v>7465.0450000000001</v>
      </c>
      <c r="P94" s="139">
        <f t="shared" si="21"/>
        <v>6.2601003258679136E-2</v>
      </c>
      <c r="Q94" s="136">
        <v>0</v>
      </c>
      <c r="R94" s="137">
        <v>0</v>
      </c>
      <c r="S94" s="137">
        <v>0</v>
      </c>
      <c r="T94" s="171">
        <v>0</v>
      </c>
      <c r="U94" s="139">
        <f t="shared" si="22"/>
        <v>0</v>
      </c>
      <c r="V94" s="136">
        <v>0</v>
      </c>
      <c r="W94" s="137">
        <v>0</v>
      </c>
      <c r="X94" s="137">
        <v>0</v>
      </c>
      <c r="Y94" s="171">
        <v>0</v>
      </c>
      <c r="Z94" s="139">
        <f t="shared" si="23"/>
        <v>0</v>
      </c>
    </row>
    <row r="95" spans="1:26" x14ac:dyDescent="0.2">
      <c r="A95" s="114" t="str">
        <f>$A$15</f>
        <v>2.50% – 2.99%</v>
      </c>
      <c r="B95" s="36">
        <v>6</v>
      </c>
      <c r="C95" s="10">
        <v>90548</v>
      </c>
      <c r="D95" s="10">
        <v>49355</v>
      </c>
      <c r="E95" s="154">
        <v>40782.03</v>
      </c>
      <c r="F95" s="37">
        <f t="shared" si="19"/>
        <v>0.30432053126257624</v>
      </c>
      <c r="G95" s="53">
        <v>4</v>
      </c>
      <c r="H95" s="54">
        <v>55331</v>
      </c>
      <c r="I95" s="54">
        <v>26702</v>
      </c>
      <c r="J95" s="164">
        <v>22655.744999999999</v>
      </c>
      <c r="K95" s="56">
        <f t="shared" si="20"/>
        <v>0.1780029191204511</v>
      </c>
      <c r="L95" s="136">
        <v>0</v>
      </c>
      <c r="M95" s="137">
        <v>0</v>
      </c>
      <c r="N95" s="137">
        <v>0</v>
      </c>
      <c r="O95" s="171">
        <v>0</v>
      </c>
      <c r="P95" s="139">
        <f t="shared" si="21"/>
        <v>0</v>
      </c>
      <c r="Q95" s="136">
        <v>0</v>
      </c>
      <c r="R95" s="137">
        <v>0</v>
      </c>
      <c r="S95" s="137">
        <v>0</v>
      </c>
      <c r="T95" s="171">
        <v>0</v>
      </c>
      <c r="U95" s="139">
        <f t="shared" si="22"/>
        <v>0</v>
      </c>
      <c r="V95" s="136">
        <v>0</v>
      </c>
      <c r="W95" s="137">
        <v>0</v>
      </c>
      <c r="X95" s="137">
        <v>0</v>
      </c>
      <c r="Y95" s="171">
        <v>0</v>
      </c>
      <c r="Z95" s="139">
        <f t="shared" si="23"/>
        <v>0</v>
      </c>
    </row>
    <row r="96" spans="1:26" x14ac:dyDescent="0.2">
      <c r="A96" s="114" t="str">
        <f>$A$16</f>
        <v>3.00% – 3.49%</v>
      </c>
      <c r="B96" s="36">
        <v>9</v>
      </c>
      <c r="C96" s="10">
        <v>60058</v>
      </c>
      <c r="D96" s="10">
        <v>28993</v>
      </c>
      <c r="E96" s="154">
        <v>24107.31</v>
      </c>
      <c r="F96" s="37">
        <f t="shared" si="19"/>
        <v>0.17989171668285314</v>
      </c>
      <c r="G96" s="53">
        <v>11</v>
      </c>
      <c r="H96" s="54">
        <v>74915</v>
      </c>
      <c r="I96" s="54">
        <v>39805</v>
      </c>
      <c r="J96" s="164">
        <v>30820.639999999999</v>
      </c>
      <c r="K96" s="56">
        <f t="shared" si="20"/>
        <v>0.24215332089765929</v>
      </c>
      <c r="L96" s="136">
        <v>13</v>
      </c>
      <c r="M96" s="137">
        <v>97005</v>
      </c>
      <c r="N96" s="137">
        <v>46413</v>
      </c>
      <c r="O96" s="171">
        <v>36906.317000000003</v>
      </c>
      <c r="P96" s="139">
        <f t="shared" si="21"/>
        <v>0.30949210229581275</v>
      </c>
      <c r="Q96" s="136">
        <v>9</v>
      </c>
      <c r="R96" s="137">
        <v>53627</v>
      </c>
      <c r="S96" s="137">
        <v>23766</v>
      </c>
      <c r="T96" s="171">
        <v>18944.212</v>
      </c>
      <c r="U96" s="139">
        <f t="shared" si="22"/>
        <v>0.15118949140085869</v>
      </c>
      <c r="V96" s="136">
        <v>5</v>
      </c>
      <c r="W96" s="137">
        <v>38802</v>
      </c>
      <c r="X96" s="137">
        <v>14442</v>
      </c>
      <c r="Y96" s="171">
        <v>13708.759</v>
      </c>
      <c r="Z96" s="139">
        <f t="shared" si="23"/>
        <v>0.10643761196322957</v>
      </c>
    </row>
    <row r="97" spans="1:26" ht="12.75" customHeight="1" x14ac:dyDescent="0.2">
      <c r="A97" s="114" t="str">
        <f>$A$17</f>
        <v>3.50% – 3.99%</v>
      </c>
      <c r="B97" s="36">
        <v>12</v>
      </c>
      <c r="C97" s="10">
        <v>114364</v>
      </c>
      <c r="D97" s="10">
        <v>49746</v>
      </c>
      <c r="E97" s="154">
        <v>43143.841999999997</v>
      </c>
      <c r="F97" s="37">
        <f t="shared" si="19"/>
        <v>0.32194466332717253</v>
      </c>
      <c r="G97" s="53">
        <v>14</v>
      </c>
      <c r="H97" s="54">
        <v>128155</v>
      </c>
      <c r="I97" s="54">
        <v>56213</v>
      </c>
      <c r="J97" s="164">
        <v>47468.783000000003</v>
      </c>
      <c r="K97" s="56">
        <f t="shared" si="20"/>
        <v>0.37295537803304396</v>
      </c>
      <c r="L97" s="136">
        <v>13</v>
      </c>
      <c r="M97" s="137">
        <v>126802</v>
      </c>
      <c r="N97" s="137">
        <v>54876</v>
      </c>
      <c r="O97" s="171">
        <v>45953.608999999997</v>
      </c>
      <c r="P97" s="139">
        <f t="shared" si="21"/>
        <v>0.38536164574454235</v>
      </c>
      <c r="Q97" s="136">
        <v>22</v>
      </c>
      <c r="R97" s="137">
        <v>198726</v>
      </c>
      <c r="S97" s="137">
        <v>89365</v>
      </c>
      <c r="T97" s="171">
        <v>73815.437000000005</v>
      </c>
      <c r="U97" s="139">
        <f t="shared" si="22"/>
        <v>0.58910438594976278</v>
      </c>
      <c r="V97" s="136">
        <v>29</v>
      </c>
      <c r="W97" s="137">
        <v>218151</v>
      </c>
      <c r="X97" s="137">
        <v>100075</v>
      </c>
      <c r="Y97" s="171">
        <v>80439.519</v>
      </c>
      <c r="Z97" s="139">
        <f t="shared" si="23"/>
        <v>0.62454889679152081</v>
      </c>
    </row>
    <row r="98" spans="1:26" ht="12.75" customHeight="1" x14ac:dyDescent="0.2">
      <c r="A98" s="114" t="str">
        <f>$A$18</f>
        <v>4.00% oder höher</v>
      </c>
      <c r="B98" s="36">
        <v>3</v>
      </c>
      <c r="C98" s="10">
        <v>2144</v>
      </c>
      <c r="D98" s="10">
        <v>927</v>
      </c>
      <c r="E98" s="154">
        <v>527.91000000000008</v>
      </c>
      <c r="F98" s="37">
        <f t="shared" si="19"/>
        <v>3.9393294462984471E-3</v>
      </c>
      <c r="G98" s="53">
        <v>6</v>
      </c>
      <c r="H98" s="54">
        <v>21406</v>
      </c>
      <c r="I98" s="54">
        <v>11320</v>
      </c>
      <c r="J98" s="164">
        <v>9883.56</v>
      </c>
      <c r="K98" s="56">
        <f t="shared" si="20"/>
        <v>7.7653704669704116E-2</v>
      </c>
      <c r="L98" s="136">
        <v>10</v>
      </c>
      <c r="M98" s="137">
        <v>68334</v>
      </c>
      <c r="N98" s="137">
        <v>35152</v>
      </c>
      <c r="O98" s="171">
        <v>28865.313999999998</v>
      </c>
      <c r="P98" s="139">
        <f t="shared" si="21"/>
        <v>0.24206118191876896</v>
      </c>
      <c r="Q98" s="136">
        <v>12</v>
      </c>
      <c r="R98" s="137">
        <v>87027</v>
      </c>
      <c r="S98" s="137">
        <v>40781</v>
      </c>
      <c r="T98" s="171">
        <v>32541.467000000001</v>
      </c>
      <c r="U98" s="139">
        <f t="shared" si="22"/>
        <v>0.25970612264937848</v>
      </c>
      <c r="V98" s="136">
        <v>21</v>
      </c>
      <c r="W98" s="137">
        <v>100175</v>
      </c>
      <c r="X98" s="137">
        <v>44734</v>
      </c>
      <c r="Y98" s="171">
        <v>34414.981999999996</v>
      </c>
      <c r="Z98" s="139">
        <f t="shared" si="23"/>
        <v>0.26720496726490922</v>
      </c>
    </row>
    <row r="99" spans="1:26" ht="12.75" hidden="1" customHeight="1" x14ac:dyDescent="0.2">
      <c r="A99" s="114">
        <f>$A$19</f>
        <v>0</v>
      </c>
      <c r="B99" s="36"/>
      <c r="C99" s="10"/>
      <c r="D99" s="10"/>
      <c r="E99" s="154"/>
      <c r="F99" s="37"/>
      <c r="G99" s="53"/>
      <c r="H99" s="54"/>
      <c r="I99" s="54"/>
      <c r="J99" s="164"/>
      <c r="K99" s="56"/>
      <c r="L99" s="136"/>
      <c r="M99" s="137"/>
      <c r="N99" s="137"/>
      <c r="O99" s="171"/>
      <c r="P99" s="139"/>
      <c r="Q99" s="136"/>
      <c r="R99" s="137"/>
      <c r="S99" s="137"/>
      <c r="T99" s="171"/>
      <c r="U99" s="139"/>
      <c r="V99" s="136"/>
      <c r="W99" s="137"/>
      <c r="X99" s="137"/>
      <c r="Y99" s="171"/>
      <c r="Z99" s="139"/>
    </row>
    <row r="100" spans="1:26" ht="12.75" hidden="1" customHeight="1" x14ac:dyDescent="0.2">
      <c r="A100" s="114">
        <f>$A$20</f>
        <v>0</v>
      </c>
      <c r="B100" s="36"/>
      <c r="C100" s="10"/>
      <c r="D100" s="10"/>
      <c r="E100" s="154"/>
      <c r="F100" s="37"/>
      <c r="G100" s="53"/>
      <c r="H100" s="54"/>
      <c r="I100" s="54"/>
      <c r="J100" s="164"/>
      <c r="K100" s="56"/>
      <c r="L100" s="136"/>
      <c r="M100" s="137"/>
      <c r="N100" s="137"/>
      <c r="O100" s="171"/>
      <c r="P100" s="139"/>
      <c r="Q100" s="136"/>
      <c r="R100" s="137"/>
      <c r="S100" s="137"/>
      <c r="T100" s="171"/>
      <c r="U100" s="139"/>
      <c r="V100" s="136"/>
      <c r="W100" s="137"/>
      <c r="X100" s="137"/>
      <c r="Y100" s="171"/>
      <c r="Z100" s="139"/>
    </row>
    <row r="101" spans="1:26" ht="12.75" hidden="1" customHeight="1" x14ac:dyDescent="0.2">
      <c r="A101" s="114">
        <f>$A$21</f>
        <v>0</v>
      </c>
      <c r="B101" s="36"/>
      <c r="C101" s="10"/>
      <c r="D101" s="10"/>
      <c r="E101" s="154"/>
      <c r="F101" s="37"/>
      <c r="G101" s="53"/>
      <c r="H101" s="54"/>
      <c r="I101" s="54"/>
      <c r="J101" s="164"/>
      <c r="K101" s="56"/>
      <c r="L101" s="136"/>
      <c r="M101" s="137"/>
      <c r="N101" s="137"/>
      <c r="O101" s="171"/>
      <c r="P101" s="139"/>
      <c r="Q101" s="136"/>
      <c r="R101" s="137"/>
      <c r="S101" s="137"/>
      <c r="T101" s="171"/>
      <c r="U101" s="139"/>
      <c r="V101" s="136"/>
      <c r="W101" s="137"/>
      <c r="X101" s="137"/>
      <c r="Y101" s="171"/>
      <c r="Z101" s="139"/>
    </row>
    <row r="102" spans="1:26" ht="12.75" hidden="1" customHeight="1" x14ac:dyDescent="0.2">
      <c r="A102" s="114">
        <f>$A$22</f>
        <v>0</v>
      </c>
      <c r="B102" s="36"/>
      <c r="C102" s="10"/>
      <c r="D102" s="10"/>
      <c r="E102" s="154"/>
      <c r="F102" s="37"/>
      <c r="G102" s="53"/>
      <c r="H102" s="54"/>
      <c r="I102" s="54"/>
      <c r="J102" s="164"/>
      <c r="K102" s="56"/>
      <c r="L102" s="136"/>
      <c r="M102" s="137"/>
      <c r="N102" s="137"/>
      <c r="O102" s="171"/>
      <c r="P102" s="139"/>
      <c r="Q102" s="136"/>
      <c r="R102" s="137"/>
      <c r="S102" s="137"/>
      <c r="T102" s="171"/>
      <c r="U102" s="139"/>
      <c r="V102" s="136"/>
      <c r="W102" s="137"/>
      <c r="X102" s="137"/>
      <c r="Y102" s="171"/>
      <c r="Z102" s="139"/>
    </row>
    <row r="103" spans="1:26" ht="12.75" hidden="1" customHeight="1" x14ac:dyDescent="0.2">
      <c r="A103" s="114">
        <f>$A$23</f>
        <v>0</v>
      </c>
      <c r="B103" s="36"/>
      <c r="C103" s="10"/>
      <c r="D103" s="10"/>
      <c r="E103" s="154"/>
      <c r="F103" s="37"/>
      <c r="G103" s="53"/>
      <c r="H103" s="54"/>
      <c r="I103" s="54"/>
      <c r="J103" s="164"/>
      <c r="K103" s="56"/>
      <c r="L103" s="136"/>
      <c r="M103" s="137"/>
      <c r="N103" s="137"/>
      <c r="O103" s="171"/>
      <c r="P103" s="139"/>
      <c r="Q103" s="136"/>
      <c r="R103" s="137"/>
      <c r="S103" s="137"/>
      <c r="T103" s="171"/>
      <c r="U103" s="139"/>
      <c r="V103" s="136"/>
      <c r="W103" s="137"/>
      <c r="X103" s="137"/>
      <c r="Y103" s="171"/>
      <c r="Z103" s="139"/>
    </row>
    <row r="104" spans="1:26" ht="12.75" hidden="1" customHeight="1" x14ac:dyDescent="0.2">
      <c r="A104" s="114">
        <f>$A$24</f>
        <v>0</v>
      </c>
      <c r="B104" s="36"/>
      <c r="C104" s="10"/>
      <c r="D104" s="10"/>
      <c r="E104" s="154"/>
      <c r="F104" s="37"/>
      <c r="G104" s="53"/>
      <c r="H104" s="54"/>
      <c r="I104" s="54"/>
      <c r="J104" s="164"/>
      <c r="K104" s="56"/>
      <c r="L104" s="136"/>
      <c r="M104" s="137"/>
      <c r="N104" s="137"/>
      <c r="O104" s="171"/>
      <c r="P104" s="139"/>
      <c r="Q104" s="136"/>
      <c r="R104" s="137"/>
      <c r="S104" s="137"/>
      <c r="T104" s="171"/>
      <c r="U104" s="139"/>
      <c r="V104" s="136"/>
      <c r="W104" s="137"/>
      <c r="X104" s="137"/>
      <c r="Y104" s="171"/>
      <c r="Z104" s="139"/>
    </row>
    <row r="105" spans="1:26" ht="12.75" hidden="1" customHeight="1" x14ac:dyDescent="0.2">
      <c r="A105" s="114">
        <f>$A$25</f>
        <v>0</v>
      </c>
      <c r="B105" s="36"/>
      <c r="C105" s="10"/>
      <c r="D105" s="10"/>
      <c r="E105" s="154"/>
      <c r="F105" s="37"/>
      <c r="G105" s="53"/>
      <c r="H105" s="54"/>
      <c r="I105" s="54"/>
      <c r="J105" s="164"/>
      <c r="K105" s="56"/>
      <c r="L105" s="136"/>
      <c r="M105" s="137"/>
      <c r="N105" s="137"/>
      <c r="O105" s="171"/>
      <c r="P105" s="139"/>
      <c r="Q105" s="136"/>
      <c r="R105" s="137"/>
      <c r="S105" s="137"/>
      <c r="T105" s="171"/>
      <c r="U105" s="139"/>
      <c r="V105" s="136"/>
      <c r="W105" s="137"/>
      <c r="X105" s="137"/>
      <c r="Y105" s="171"/>
      <c r="Z105" s="139"/>
    </row>
    <row r="106" spans="1:26" ht="12.75" hidden="1" customHeight="1" x14ac:dyDescent="0.2">
      <c r="A106" s="114">
        <f>$A$26</f>
        <v>0</v>
      </c>
      <c r="B106" s="36"/>
      <c r="C106" s="10"/>
      <c r="D106" s="10"/>
      <c r="E106" s="154"/>
      <c r="F106" s="37"/>
      <c r="G106" s="53"/>
      <c r="H106" s="54"/>
      <c r="I106" s="54"/>
      <c r="J106" s="164"/>
      <c r="K106" s="56"/>
      <c r="L106" s="136"/>
      <c r="M106" s="137"/>
      <c r="N106" s="137"/>
      <c r="O106" s="171"/>
      <c r="P106" s="139"/>
      <c r="Q106" s="136"/>
      <c r="R106" s="137"/>
      <c r="S106" s="137"/>
      <c r="T106" s="171"/>
      <c r="U106" s="139"/>
      <c r="V106" s="136"/>
      <c r="W106" s="137"/>
      <c r="X106" s="137"/>
      <c r="Y106" s="171"/>
      <c r="Z106" s="139"/>
    </row>
    <row r="107" spans="1:26" ht="12.75" hidden="1" customHeight="1" x14ac:dyDescent="0.2">
      <c r="A107" s="114">
        <f>$A$27</f>
        <v>0</v>
      </c>
      <c r="B107" s="36"/>
      <c r="C107" s="10"/>
      <c r="D107" s="10"/>
      <c r="E107" s="154"/>
      <c r="F107" s="37"/>
      <c r="G107" s="53"/>
      <c r="H107" s="54"/>
      <c r="I107" s="54"/>
      <c r="J107" s="164"/>
      <c r="K107" s="56"/>
      <c r="L107" s="136"/>
      <c r="M107" s="137"/>
      <c r="N107" s="137"/>
      <c r="O107" s="171"/>
      <c r="P107" s="139"/>
      <c r="Q107" s="136"/>
      <c r="R107" s="137"/>
      <c r="S107" s="137"/>
      <c r="T107" s="171"/>
      <c r="U107" s="139"/>
      <c r="V107" s="136"/>
      <c r="W107" s="137"/>
      <c r="X107" s="137"/>
      <c r="Y107" s="171"/>
      <c r="Z107" s="139"/>
    </row>
    <row r="108" spans="1:26" ht="12.75" hidden="1" customHeight="1" x14ac:dyDescent="0.2">
      <c r="A108" s="114">
        <f>$A$28</f>
        <v>0</v>
      </c>
      <c r="B108" s="36"/>
      <c r="C108" s="10"/>
      <c r="D108" s="10"/>
      <c r="E108" s="154"/>
      <c r="F108" s="37"/>
      <c r="G108" s="53"/>
      <c r="H108" s="54"/>
      <c r="I108" s="54"/>
      <c r="J108" s="164"/>
      <c r="K108" s="56"/>
      <c r="L108" s="136"/>
      <c r="M108" s="137"/>
      <c r="N108" s="137"/>
      <c r="O108" s="171"/>
      <c r="P108" s="139"/>
      <c r="Q108" s="136"/>
      <c r="R108" s="137"/>
      <c r="S108" s="137"/>
      <c r="T108" s="171"/>
      <c r="U108" s="139"/>
      <c r="V108" s="136"/>
      <c r="W108" s="137"/>
      <c r="X108" s="137"/>
      <c r="Y108" s="171"/>
      <c r="Z108" s="139"/>
    </row>
    <row r="109" spans="1:26" ht="12.75" hidden="1" customHeight="1" x14ac:dyDescent="0.2">
      <c r="A109" s="114">
        <f>$A$29</f>
        <v>0</v>
      </c>
      <c r="B109" s="36"/>
      <c r="C109" s="10"/>
      <c r="D109" s="10"/>
      <c r="E109" s="154"/>
      <c r="F109" s="37"/>
      <c r="G109" s="53"/>
      <c r="H109" s="54"/>
      <c r="I109" s="54"/>
      <c r="J109" s="164"/>
      <c r="K109" s="56"/>
      <c r="L109" s="136"/>
      <c r="M109" s="137"/>
      <c r="N109" s="137"/>
      <c r="O109" s="171"/>
      <c r="P109" s="139"/>
      <c r="Q109" s="136"/>
      <c r="R109" s="137"/>
      <c r="S109" s="137"/>
      <c r="T109" s="171"/>
      <c r="U109" s="139"/>
      <c r="V109" s="136"/>
      <c r="W109" s="137"/>
      <c r="X109" s="137"/>
      <c r="Y109" s="171"/>
      <c r="Z109" s="139"/>
    </row>
    <row r="110" spans="1:26" ht="12.75" hidden="1" customHeight="1" x14ac:dyDescent="0.2">
      <c r="A110" s="114">
        <f>$A$30</f>
        <v>0</v>
      </c>
      <c r="B110" s="36"/>
      <c r="C110" s="10"/>
      <c r="D110" s="10"/>
      <c r="E110" s="154"/>
      <c r="F110" s="37"/>
      <c r="G110" s="53"/>
      <c r="H110" s="54"/>
      <c r="I110" s="54"/>
      <c r="J110" s="164"/>
      <c r="K110" s="56"/>
      <c r="L110" s="136"/>
      <c r="M110" s="137"/>
      <c r="N110" s="137"/>
      <c r="O110" s="171"/>
      <c r="P110" s="139"/>
      <c r="Q110" s="136"/>
      <c r="R110" s="137"/>
      <c r="S110" s="137"/>
      <c r="T110" s="171"/>
      <c r="U110" s="139"/>
      <c r="V110" s="136"/>
      <c r="W110" s="137"/>
      <c r="X110" s="137"/>
      <c r="Y110" s="171"/>
      <c r="Z110" s="139"/>
    </row>
    <row r="111" spans="1:26" ht="12.75" hidden="1" customHeight="1" x14ac:dyDescent="0.2">
      <c r="A111" s="114">
        <f>$A$31</f>
        <v>0</v>
      </c>
      <c r="B111" s="36"/>
      <c r="C111" s="10"/>
      <c r="D111" s="10"/>
      <c r="E111" s="154"/>
      <c r="F111" s="37"/>
      <c r="G111" s="53"/>
      <c r="H111" s="54"/>
      <c r="I111" s="54"/>
      <c r="J111" s="164"/>
      <c r="K111" s="56"/>
      <c r="L111" s="136"/>
      <c r="M111" s="137"/>
      <c r="N111" s="137"/>
      <c r="O111" s="171"/>
      <c r="P111" s="139"/>
      <c r="Q111" s="136"/>
      <c r="R111" s="137"/>
      <c r="S111" s="137"/>
      <c r="T111" s="171"/>
      <c r="U111" s="139"/>
      <c r="V111" s="136"/>
      <c r="W111" s="137"/>
      <c r="X111" s="137"/>
      <c r="Y111" s="171"/>
      <c r="Z111" s="139"/>
    </row>
    <row r="112" spans="1:26" ht="12.75" hidden="1" customHeight="1" x14ac:dyDescent="0.2">
      <c r="A112" s="114">
        <f>$A$32</f>
        <v>0</v>
      </c>
      <c r="B112" s="36"/>
      <c r="C112" s="10"/>
      <c r="D112" s="10"/>
      <c r="E112" s="154"/>
      <c r="F112" s="37"/>
      <c r="G112" s="53"/>
      <c r="H112" s="54"/>
      <c r="I112" s="54"/>
      <c r="J112" s="164"/>
      <c r="K112" s="56"/>
      <c r="L112" s="136"/>
      <c r="M112" s="137"/>
      <c r="N112" s="137"/>
      <c r="O112" s="171"/>
      <c r="P112" s="139"/>
      <c r="Q112" s="136"/>
      <c r="R112" s="137"/>
      <c r="S112" s="137"/>
      <c r="T112" s="171"/>
      <c r="U112" s="139"/>
      <c r="V112" s="136"/>
      <c r="W112" s="137"/>
      <c r="X112" s="137"/>
      <c r="Y112" s="171"/>
      <c r="Z112" s="139"/>
    </row>
    <row r="113" spans="1:26" ht="12.75" hidden="1" customHeight="1" x14ac:dyDescent="0.2">
      <c r="A113" s="114">
        <f>$A$33</f>
        <v>0</v>
      </c>
      <c r="B113" s="36"/>
      <c r="C113" s="10"/>
      <c r="D113" s="10"/>
      <c r="E113" s="154"/>
      <c r="F113" s="37"/>
      <c r="G113" s="53"/>
      <c r="H113" s="54"/>
      <c r="I113" s="54"/>
      <c r="J113" s="164"/>
      <c r="K113" s="56"/>
      <c r="L113" s="136"/>
      <c r="M113" s="137"/>
      <c r="N113" s="137"/>
      <c r="O113" s="171"/>
      <c r="P113" s="139"/>
      <c r="Q113" s="136"/>
      <c r="R113" s="137"/>
      <c r="S113" s="137"/>
      <c r="T113" s="171"/>
      <c r="U113" s="139"/>
      <c r="V113" s="136"/>
      <c r="W113" s="137"/>
      <c r="X113" s="137"/>
      <c r="Y113" s="171"/>
      <c r="Z113" s="139"/>
    </row>
    <row r="114" spans="1:26" ht="12.75" hidden="1" customHeight="1" x14ac:dyDescent="0.2">
      <c r="A114" s="114">
        <f>$A$34</f>
        <v>0</v>
      </c>
      <c r="B114" s="36"/>
      <c r="C114" s="10"/>
      <c r="D114" s="10"/>
      <c r="E114" s="154"/>
      <c r="F114" s="37"/>
      <c r="G114" s="53"/>
      <c r="H114" s="54"/>
      <c r="I114" s="54"/>
      <c r="J114" s="164"/>
      <c r="K114" s="56"/>
      <c r="L114" s="136"/>
      <c r="M114" s="137"/>
      <c r="N114" s="137"/>
      <c r="O114" s="171"/>
      <c r="P114" s="139"/>
      <c r="Q114" s="136"/>
      <c r="R114" s="137"/>
      <c r="S114" s="137"/>
      <c r="T114" s="171"/>
      <c r="U114" s="139"/>
      <c r="V114" s="136"/>
      <c r="W114" s="137"/>
      <c r="X114" s="137"/>
      <c r="Y114" s="171"/>
      <c r="Z114" s="139"/>
    </row>
    <row r="115" spans="1:26" ht="12.75" hidden="1" customHeight="1" x14ac:dyDescent="0.2">
      <c r="B115" s="36"/>
      <c r="C115" s="10"/>
      <c r="D115" s="10"/>
      <c r="E115" s="154"/>
      <c r="F115" s="37"/>
      <c r="G115" s="53"/>
      <c r="H115" s="54"/>
      <c r="I115" s="54"/>
      <c r="J115" s="164"/>
      <c r="K115" s="56"/>
      <c r="L115" s="136"/>
      <c r="M115" s="137"/>
      <c r="N115" s="137"/>
      <c r="O115" s="171"/>
      <c r="P115" s="139"/>
      <c r="Q115" s="136"/>
      <c r="R115" s="137"/>
      <c r="S115" s="137"/>
      <c r="T115" s="171"/>
      <c r="U115" s="139"/>
      <c r="V115" s="136"/>
      <c r="W115" s="137"/>
      <c r="X115" s="137"/>
      <c r="Y115" s="171"/>
      <c r="Z115" s="139"/>
    </row>
    <row r="116" spans="1:26" x14ac:dyDescent="0.2">
      <c r="A116" s="115" t="s">
        <v>2</v>
      </c>
      <c r="B116" s="38">
        <f>SUM(B$92:B$115)</f>
        <v>38</v>
      </c>
      <c r="C116" s="11">
        <f>SUM(C$92:C$115)</f>
        <v>325723</v>
      </c>
      <c r="D116" s="11">
        <f>SUM(D$92:D$115)</f>
        <v>156184</v>
      </c>
      <c r="E116" s="155">
        <f>SUM(E$92:E$115)</f>
        <v>134010.117</v>
      </c>
      <c r="F116" s="70">
        <f t="shared" ref="F116" si="24">SUM(F$92:F$115)</f>
        <v>1</v>
      </c>
      <c r="G116" s="57">
        <f>SUM(G$92:G$115)</f>
        <v>39</v>
      </c>
      <c r="H116" s="71">
        <f>SUM(H$92:H$115)</f>
        <v>322040</v>
      </c>
      <c r="I116" s="71">
        <f>SUM(I$92:I$115)</f>
        <v>150098</v>
      </c>
      <c r="J116" s="165">
        <f>SUM(J$92:J$115)</f>
        <v>127277.37899999999</v>
      </c>
      <c r="K116" s="72">
        <f t="shared" ref="K116" si="25">SUM(K$92:K$115)</f>
        <v>1</v>
      </c>
      <c r="L116" s="140">
        <f>SUM(L$92:L$115)</f>
        <v>38</v>
      </c>
      <c r="M116" s="141">
        <f>SUM(M$92:M$115)</f>
        <v>308343</v>
      </c>
      <c r="N116" s="141">
        <f>SUM(N$92:N$115)</f>
        <v>143834</v>
      </c>
      <c r="O116" s="172">
        <f>SUM(O$92:O$115)</f>
        <v>119248.00900000001</v>
      </c>
      <c r="P116" s="143">
        <f t="shared" ref="P116" si="26">SUM(P$92:P$115)</f>
        <v>1</v>
      </c>
      <c r="Q116" s="140">
        <f>SUM(Q$92:Q$115)</f>
        <v>43</v>
      </c>
      <c r="R116" s="141">
        <f>SUM(R$92:R$115)</f>
        <v>339380</v>
      </c>
      <c r="S116" s="141">
        <f>SUM(S$92:S$115)</f>
        <v>153912</v>
      </c>
      <c r="T116" s="172">
        <f>SUM(T$92:T$115)</f>
        <v>125301.11600000001</v>
      </c>
      <c r="U116" s="143">
        <f t="shared" ref="U116:Z116" si="27">SUM(U$92:U$115)</f>
        <v>1</v>
      </c>
      <c r="V116" s="140">
        <f t="shared" si="27"/>
        <v>58</v>
      </c>
      <c r="W116" s="141">
        <f t="shared" si="27"/>
        <v>358116</v>
      </c>
      <c r="X116" s="141">
        <f t="shared" si="27"/>
        <v>159705</v>
      </c>
      <c r="Y116" s="172">
        <f t="shared" si="27"/>
        <v>128796.19099999999</v>
      </c>
      <c r="Z116" s="143">
        <f t="shared" si="27"/>
        <v>1</v>
      </c>
    </row>
    <row r="120" spans="1:26" x14ac:dyDescent="0.2">
      <c r="A120" s="110" t="str">
        <f>Translation!$A$37</f>
        <v>Vorsorgekapital in Mio. CHF</v>
      </c>
    </row>
  </sheetData>
  <mergeCells count="5">
    <mergeCell ref="L3:P3"/>
    <mergeCell ref="Q3:U3"/>
    <mergeCell ref="V3:Z3"/>
    <mergeCell ref="G3:K3"/>
    <mergeCell ref="B3:F3"/>
  </mergeCells>
  <hyperlinks>
    <hyperlink ref="A2" location="'0'!A1" display="zurück zur Übersicht"/>
  </hyperlinks>
  <pageMargins left="0.70866141732283472" right="0.70866141732283472" top="0.78740157480314965" bottom="0.78740157480314965" header="0.31496062992125984" footer="0.31496062992125984"/>
  <pageSetup paperSize="9" scale="49" orientation="landscape" cellComments="atEnd" r:id="rId1"/>
  <headerFooter>
    <oddFooter>&amp;L&amp;10&amp;F / &amp;A&amp;C&amp;10&amp;H&amp;P / &amp;N&amp;R&amp;10OAK BV - RM / 10.05.2016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abellen_2014-04-13_Korr"/>
    <f:field ref="objsubject" par="" edit="true" text=""/>
    <f:field ref="objcreatedby" par="" text="Tapernoux, André, Tae, OAK BV"/>
    <f:field ref="objcreatedat" par="" text="16.04.2014 09:01:00"/>
    <f:field ref="objchangedby" par="" text="Wüthrich, Marcel, Wum, OAK BV"/>
    <f:field ref="objmodifiedat" par="" text="28.04.2014 15:58:39"/>
    <f:field ref="doc_FSCFOLIO_1_1001_FieldDocumentNumber" par="" text=""/>
    <f:field ref="doc_FSCFOLIO_1_1001_FieldSubject" par="" edit="true" text=""/>
    <f:field ref="FSCFOLIO_1_1001_FieldCurrentUser" par="" text="Marcel Wüthrich"/>
    <f:field ref="CCAPRECONFIG_15_1001_Objektname" par="" edit="true" text="Tabellen_2014-04-13_Korr"/>
    <f:field ref="CHPRECONFIG_1_1001_Objektname" par="" edit="true" text="Tabellen_2014-04-13_Korr"/>
  </f:record>
  <f:display par="" text="...">
    <f:field ref="FSCFOLIO_1_1001_FieldCurrentUser" text="Aktueller Benutzer"/>
    <f:field ref="objsubject" text="Betreff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31</vt:i4>
      </vt:variant>
      <vt:variant>
        <vt:lpstr>Benannte Bereiche</vt:lpstr>
      </vt:variant>
      <vt:variant>
        <vt:i4>33</vt:i4>
      </vt:variant>
    </vt:vector>
  </HeadingPairs>
  <TitlesOfParts>
    <vt:vector size="64" baseType="lpstr">
      <vt:lpstr>Control</vt:lpstr>
      <vt:lpstr>0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19</vt:lpstr>
      <vt:lpstr>20</vt:lpstr>
      <vt:lpstr>21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35</vt:lpstr>
      <vt:lpstr>40</vt:lpstr>
      <vt:lpstr>41</vt:lpstr>
      <vt:lpstr>42</vt:lpstr>
      <vt:lpstr>43</vt:lpstr>
      <vt:lpstr>B 1</vt:lpstr>
      <vt:lpstr>Translation</vt:lpstr>
      <vt:lpstr>'0'!Drucktitel</vt:lpstr>
      <vt:lpstr>'10'!Drucktitel</vt:lpstr>
      <vt:lpstr>'11'!Drucktitel</vt:lpstr>
      <vt:lpstr>'12'!Drucktitel</vt:lpstr>
      <vt:lpstr>'13'!Drucktitel</vt:lpstr>
      <vt:lpstr>'14'!Drucktitel</vt:lpstr>
      <vt:lpstr>'15'!Drucktitel</vt:lpstr>
      <vt:lpstr>'16'!Drucktitel</vt:lpstr>
      <vt:lpstr>'17'!Drucktitel</vt:lpstr>
      <vt:lpstr>'19'!Drucktitel</vt:lpstr>
      <vt:lpstr>'20'!Drucktitel</vt:lpstr>
      <vt:lpstr>'21'!Drucktitel</vt:lpstr>
      <vt:lpstr>'23'!Drucktitel</vt:lpstr>
      <vt:lpstr>'24'!Drucktitel</vt:lpstr>
      <vt:lpstr>'25'!Drucktitel</vt:lpstr>
      <vt:lpstr>'26'!Drucktitel</vt:lpstr>
      <vt:lpstr>'27'!Drucktitel</vt:lpstr>
      <vt:lpstr>'28'!Drucktitel</vt:lpstr>
      <vt:lpstr>'29'!Drucktitel</vt:lpstr>
      <vt:lpstr>'30'!Drucktitel</vt:lpstr>
      <vt:lpstr>'31'!Drucktitel</vt:lpstr>
      <vt:lpstr>'32'!Drucktitel</vt:lpstr>
      <vt:lpstr>'35'!Drucktitel</vt:lpstr>
      <vt:lpstr>'40'!Drucktitel</vt:lpstr>
      <vt:lpstr>'41'!Drucktitel</vt:lpstr>
      <vt:lpstr>'42'!Drucktitel</vt:lpstr>
      <vt:lpstr>'43'!Drucktitel</vt:lpstr>
      <vt:lpstr>'9'!Drucktitel</vt:lpstr>
      <vt:lpstr>'B 1'!Drucktitel</vt:lpstr>
      <vt:lpstr>Control!Drucktitel</vt:lpstr>
      <vt:lpstr>Translation!Drucktitel</vt:lpstr>
      <vt:lpstr>language</vt:lpstr>
      <vt:lpstr>Sprachauswahl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Wüthrich Marcel OAK-BV</dc:creator>
  <cp:lastModifiedBy>Wüthrich Marcel OAK-BV</cp:lastModifiedBy>
  <cp:lastPrinted>2018-05-07T08:10:49Z</cp:lastPrinted>
  <dcterms:created xsi:type="dcterms:W3CDTF">2014-03-27T14:53:26Z</dcterms:created>
  <dcterms:modified xsi:type="dcterms:W3CDTF">2018-05-07T19:19:32Z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BSVTEMPL@102.1950:FileRespAmtstitel">
    <vt:lpwstr/>
  </property>
  <property fmtid="{D5CDD505-2E9C-101B-9397-08002B2CF9AE}" pid="3" name="FSC#BSVTEMPL@102.1950:FileRespAmtstitel_F">
    <vt:lpwstr/>
  </property>
  <property fmtid="{D5CDD505-2E9C-101B-9397-08002B2CF9AE}" pid="4" name="FSC#BSVTEMPL@102.1950:FileRespAmtstitel_I">
    <vt:lpwstr/>
  </property>
  <property fmtid="{D5CDD505-2E9C-101B-9397-08002B2CF9AE}" pid="5" name="FSC#BSVTEMPL@102.1950:FileRespAmtstitel_E">
    <vt:lpwstr/>
  </property>
  <property fmtid="{D5CDD505-2E9C-101B-9397-08002B2CF9AE}" pid="6" name="FSC#BSVTEMPL@102.1950:AssignmentName">
    <vt:lpwstr/>
  </property>
  <property fmtid="{D5CDD505-2E9C-101B-9397-08002B2CF9AE}" pid="7" name="FSC#BSVTEMPL@102.1950:BSVShortsign">
    <vt:lpwstr>Tae</vt:lpwstr>
  </property>
  <property fmtid="{D5CDD505-2E9C-101B-9397-08002B2CF9AE}" pid="8" name="FSC#BSVTEMPL@102.1950:DocumentID">
    <vt:lpwstr>10</vt:lpwstr>
  </property>
  <property fmtid="{D5CDD505-2E9C-101B-9397-08002B2CF9AE}" pid="9" name="FSC#BSVTEMPL@102.1950:Dossierref">
    <vt:lpwstr>063-R13</vt:lpwstr>
  </property>
  <property fmtid="{D5CDD505-2E9C-101B-9397-08002B2CF9AE}" pid="10" name="FSC#BSVTEMPL@102.1950:Oursign">
    <vt:lpwstr>063-R13 16.04.2014</vt:lpwstr>
  </property>
  <property fmtid="{D5CDD505-2E9C-101B-9397-08002B2CF9AE}" pid="11" name="FSC#BSVTEMPL@102.1950:EmpfName">
    <vt:lpwstr/>
  </property>
  <property fmtid="{D5CDD505-2E9C-101B-9397-08002B2CF9AE}" pid="12" name="FSC#BSVTEMPL@102.1950:EmpfOrt">
    <vt:lpwstr/>
  </property>
  <property fmtid="{D5CDD505-2E9C-101B-9397-08002B2CF9AE}" pid="13" name="FSC#BSVTEMPL@102.1950:EmpfPLZ">
    <vt:lpwstr/>
  </property>
  <property fmtid="{D5CDD505-2E9C-101B-9397-08002B2CF9AE}" pid="14" name="FSC#BSVTEMPL@102.1950:EmpfStrasse">
    <vt:lpwstr/>
  </property>
  <property fmtid="{D5CDD505-2E9C-101B-9397-08002B2CF9AE}" pid="15" name="FSC#BSVTEMPL@102.1950:FileRespEmail">
    <vt:lpwstr>andre.tapernoux@oak-bv.admin.ch</vt:lpwstr>
  </property>
  <property fmtid="{D5CDD505-2E9C-101B-9397-08002B2CF9AE}" pid="16" name="FSC#BSVTEMPL@102.1950:FileRespFax">
    <vt:lpwstr>+41 58 462 26 96</vt:lpwstr>
  </property>
  <property fmtid="{D5CDD505-2E9C-101B-9397-08002B2CF9AE}" pid="17" name="FSC#BSVTEMPL@102.1950:FileRespHome">
    <vt:lpwstr>Bern</vt:lpwstr>
  </property>
  <property fmtid="{D5CDD505-2E9C-101B-9397-08002B2CF9AE}" pid="18" name="FSC#BSVTEMPL@102.1950:FileRespStreet">
    <vt:lpwstr>Seilerstrasse 8</vt:lpwstr>
  </property>
  <property fmtid="{D5CDD505-2E9C-101B-9397-08002B2CF9AE}" pid="19" name="FSC#BSVTEMPL@102.1950:FileRespTel">
    <vt:lpwstr>+41 58 462 92 09</vt:lpwstr>
  </property>
  <property fmtid="{D5CDD505-2E9C-101B-9397-08002B2CF9AE}" pid="20" name="FSC#BSVTEMPL@102.1950:FileRespZipCode">
    <vt:lpwstr>3001</vt:lpwstr>
  </property>
  <property fmtid="{D5CDD505-2E9C-101B-9397-08002B2CF9AE}" pid="21" name="FSC#BSVTEMPL@102.1950:NameFileResponsible">
    <vt:lpwstr>Tapernoux</vt:lpwstr>
  </property>
  <property fmtid="{D5CDD505-2E9C-101B-9397-08002B2CF9AE}" pid="22" name="FSC#BSVTEMPL@102.1950:Shortsign">
    <vt:lpwstr>Tae</vt:lpwstr>
  </property>
  <property fmtid="{D5CDD505-2E9C-101B-9397-08002B2CF9AE}" pid="23" name="FSC#BSVTEMPL@102.1950:UserFunction">
    <vt:lpwstr/>
  </property>
  <property fmtid="{D5CDD505-2E9C-101B-9397-08002B2CF9AE}" pid="24" name="FSC#BSVTEMPL@102.1950:VornameNameFileResponsible">
    <vt:lpwstr>André</vt:lpwstr>
  </property>
  <property fmtid="{D5CDD505-2E9C-101B-9397-08002B2CF9AE}" pid="25" name="FSC#BSVTEMPL@102.1950:FileResponsible">
    <vt:lpwstr>André Tapernoux</vt:lpwstr>
  </property>
  <property fmtid="{D5CDD505-2E9C-101B-9397-08002B2CF9AE}" pid="26" name="FSC#BSVTEMPL@102.1950:FileRespOrg">
    <vt:lpwstr>Risk, OAK BV</vt:lpwstr>
  </property>
  <property fmtid="{D5CDD505-2E9C-101B-9397-08002B2CF9AE}" pid="27" name="FSC#BSVTEMPL@102.1950:FileRespOrgHome">
    <vt:lpwstr>Bern</vt:lpwstr>
  </property>
  <property fmtid="{D5CDD505-2E9C-101B-9397-08002B2CF9AE}" pid="28" name="FSC#BSVTEMPL@102.1950:FileRespOrgStreet">
    <vt:lpwstr>Seilerstrasse 8</vt:lpwstr>
  </property>
  <property fmtid="{D5CDD505-2E9C-101B-9397-08002B2CF9AE}" pid="29" name="FSC#BSVTEMPL@102.1950:FileRespOrgZipCode">
    <vt:lpwstr>3003</vt:lpwstr>
  </property>
  <property fmtid="{D5CDD505-2E9C-101B-9397-08002B2CF9AE}" pid="30" name="FSC#BSVTEMPL@102.1950:FileRespOU">
    <vt:lpwstr>Risk</vt:lpwstr>
  </property>
  <property fmtid="{D5CDD505-2E9C-101B-9397-08002B2CF9AE}" pid="31" name="FSC#BSVTEMPL@102.1950:Registrierdatum">
    <vt:lpwstr>16.04.2014 00:00:00</vt:lpwstr>
  </property>
  <property fmtid="{D5CDD505-2E9C-101B-9397-08002B2CF9AE}" pid="32" name="FSC#BSVTEMPL@102.1950:RegPlanPos">
    <vt:lpwstr/>
  </property>
  <property fmtid="{D5CDD505-2E9C-101B-9397-08002B2CF9AE}" pid="33" name="FSC#BSVTEMPL@102.1950:ShortsignCreate">
    <vt:lpwstr>Tae</vt:lpwstr>
  </property>
  <property fmtid="{D5CDD505-2E9C-101B-9397-08002B2CF9AE}" pid="34" name="FSC#BSVTEMPL@102.1950:SignApproved1">
    <vt:lpwstr/>
  </property>
  <property fmtid="{D5CDD505-2E9C-101B-9397-08002B2CF9AE}" pid="35" name="FSC#BSVTEMPL@102.1950:SignApproved2">
    <vt:lpwstr/>
  </property>
  <property fmtid="{D5CDD505-2E9C-101B-9397-08002B2CF9AE}" pid="36" name="FSC#BSVTEMPL@102.1950:SubjectSubFile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37" name="FSC#BSVTEMPL@102.1950:SubjectDocument">
    <vt:lpwstr/>
  </property>
  <property fmtid="{D5CDD505-2E9C-101B-9397-08002B2CF9AE}" pid="38" name="FSC#BSVTEMPL@102.1950:TitleDossier">
    <vt:lpwstr>Erhebung per 31.12.2013</vt:lpwstr>
  </property>
  <property fmtid="{D5CDD505-2E9C-101B-9397-08002B2CF9AE}" pid="39" name="FSC#BSVTEMPL@102.1950:ZusendungAm">
    <vt:lpwstr/>
  </property>
  <property fmtid="{D5CDD505-2E9C-101B-9397-08002B2CF9AE}" pid="40" name="FSC#EDICFG@15.1700:DossierrefSubFile">
    <vt:lpwstr>063-R13/Adressdaten</vt:lpwstr>
  </property>
  <property fmtid="{D5CDD505-2E9C-101B-9397-08002B2CF9AE}" pid="41" name="FSC#EDICFG@15.1700:UniqueSubFileNumber">
    <vt:lpwstr>20141616-0010</vt:lpwstr>
  </property>
  <property fmtid="{D5CDD505-2E9C-101B-9397-08002B2CF9AE}" pid="42" name="FSC#BSVTEMPL@102.1950:DocumentIDEnhanced">
    <vt:lpwstr>063-R13 16.04.2014 Doknr: 10</vt:lpwstr>
  </property>
  <property fmtid="{D5CDD505-2E9C-101B-9397-08002B2CF9AE}" pid="43" name="FSC#EDICFG@15.1700:FileRespInitials">
    <vt:lpwstr>Tae</vt:lpwstr>
  </property>
  <property fmtid="{D5CDD505-2E9C-101B-9397-08002B2CF9AE}" pid="44" name="FSC#EDICFG@15.1700:FileRespOrgD">
    <vt:lpwstr>Risk</vt:lpwstr>
  </property>
  <property fmtid="{D5CDD505-2E9C-101B-9397-08002B2CF9AE}" pid="45" name="FSC#EDICFG@15.1700:FileRespOrgF">
    <vt:lpwstr>Risk</vt:lpwstr>
  </property>
  <property fmtid="{D5CDD505-2E9C-101B-9397-08002B2CF9AE}" pid="46" name="FSC#EDICFG@15.1700:FileRespOrgE">
    <vt:lpwstr>Risk</vt:lpwstr>
  </property>
  <property fmtid="{D5CDD505-2E9C-101B-9397-08002B2CF9AE}" pid="47" name="FSC#EDICFG@15.1700:FileRespOrgI">
    <vt:lpwstr>Risk</vt:lpwstr>
  </property>
  <property fmtid="{D5CDD505-2E9C-101B-9397-08002B2CF9AE}" pid="48" name="FSC#EDICFG@15.1700:FileResponsibleSalutation">
    <vt:lpwstr/>
  </property>
  <property fmtid="{D5CDD505-2E9C-101B-9397-08002B2CF9AE}" pid="49" name="FSC#COOSYSTEM@1.1:Container">
    <vt:lpwstr>COO.2080.103.4.80299</vt:lpwstr>
  </property>
  <property fmtid="{D5CDD505-2E9C-101B-9397-08002B2CF9AE}" pid="50" name="FSC#COOELAK@1.1001:Subject">
    <vt:lpwstr/>
  </property>
  <property fmtid="{D5CDD505-2E9C-101B-9397-08002B2CF9AE}" pid="51" name="FSC#COOELAK@1.1001:FileReference">
    <vt:lpwstr/>
  </property>
  <property fmtid="{D5CDD505-2E9C-101B-9397-08002B2CF9AE}" pid="52" name="FSC#COOELAK@1.1001:FileRefYear">
    <vt:lpwstr>2013</vt:lpwstr>
  </property>
  <property fmtid="{D5CDD505-2E9C-101B-9397-08002B2CF9AE}" pid="53" name="FSC#COOELAK@1.1001:FileRefOrdinal">
    <vt:lpwstr>348</vt:lpwstr>
  </property>
  <property fmtid="{D5CDD505-2E9C-101B-9397-08002B2CF9AE}" pid="54" name="FSC#COOELAK@1.1001:FileRefOU">
    <vt:lpwstr/>
  </property>
  <property fmtid="{D5CDD505-2E9C-101B-9397-08002B2CF9AE}" pid="55" name="FSC#COOELAK@1.1001:Organization">
    <vt:lpwstr/>
  </property>
  <property fmtid="{D5CDD505-2E9C-101B-9397-08002B2CF9AE}" pid="56" name="FSC#COOELAK@1.1001:Owner">
    <vt:lpwstr>Tapernoux André</vt:lpwstr>
  </property>
  <property fmtid="{D5CDD505-2E9C-101B-9397-08002B2CF9AE}" pid="57" name="FSC#COOELAK@1.1001:OwnerExtension">
    <vt:lpwstr>+41 58 462 92 09</vt:lpwstr>
  </property>
  <property fmtid="{D5CDD505-2E9C-101B-9397-08002B2CF9AE}" pid="58" name="FSC#COOELAK@1.1001:OwnerFaxExtension">
    <vt:lpwstr>+41 58 462 26 96</vt:lpwstr>
  </property>
  <property fmtid="{D5CDD505-2E9C-101B-9397-08002B2CF9AE}" pid="59" name="FSC#COOELAK@1.1001:DispatchedBy">
    <vt:lpwstr/>
  </property>
  <property fmtid="{D5CDD505-2E9C-101B-9397-08002B2CF9AE}" pid="60" name="FSC#COOELAK@1.1001:DispatchedAt">
    <vt:lpwstr/>
  </property>
  <property fmtid="{D5CDD505-2E9C-101B-9397-08002B2CF9AE}" pid="61" name="FSC#COOELAK@1.1001:ApprovedBy">
    <vt:lpwstr/>
  </property>
  <property fmtid="{D5CDD505-2E9C-101B-9397-08002B2CF9AE}" pid="62" name="FSC#COOELAK@1.1001:ApprovedAt">
    <vt:lpwstr/>
  </property>
  <property fmtid="{D5CDD505-2E9C-101B-9397-08002B2CF9AE}" pid="63" name="FSC#COOELAK@1.1001:Department">
    <vt:lpwstr>Risk, OAK BV</vt:lpwstr>
  </property>
  <property fmtid="{D5CDD505-2E9C-101B-9397-08002B2CF9AE}" pid="64" name="FSC#COOELAK@1.1001:CreatedAt">
    <vt:lpwstr>16.04.2014</vt:lpwstr>
  </property>
  <property fmtid="{D5CDD505-2E9C-101B-9397-08002B2CF9AE}" pid="65" name="FSC#COOELAK@1.1001:OU">
    <vt:lpwstr>Risk, OAK BV</vt:lpwstr>
  </property>
  <property fmtid="{D5CDD505-2E9C-101B-9397-08002B2CF9AE}" pid="66" name="FSC#COOELAK@1.1001:Priority">
    <vt:lpwstr> ()</vt:lpwstr>
  </property>
  <property fmtid="{D5CDD505-2E9C-101B-9397-08002B2CF9AE}" pid="67" name="FSC#COOELAK@1.1001:ObjBarCode">
    <vt:lpwstr>*COO.2080.103.4.80299*</vt:lpwstr>
  </property>
  <property fmtid="{D5CDD505-2E9C-101B-9397-08002B2CF9AE}" pid="68" name="FSC#COOELAK@1.1001:RefBarCode">
    <vt:lpwstr>*COO.2080.103.4.80350*</vt:lpwstr>
  </property>
  <property fmtid="{D5CDD505-2E9C-101B-9397-08002B2CF9AE}" pid="69" name="FSC#COOELAK@1.1001:FileRefBarCode">
    <vt:lpwstr>*063-R13*</vt:lpwstr>
  </property>
  <property fmtid="{D5CDD505-2E9C-101B-9397-08002B2CF9AE}" pid="70" name="FSC#COOELAK@1.1001:ExternalRef">
    <vt:lpwstr/>
  </property>
  <property fmtid="{D5CDD505-2E9C-101B-9397-08002B2CF9AE}" pid="71" name="FSC#COOELAK@1.1001:IncomingNumber">
    <vt:lpwstr/>
  </property>
  <property fmtid="{D5CDD505-2E9C-101B-9397-08002B2CF9AE}" pid="72" name="FSC#COOELAK@1.1001:IncomingSubject">
    <vt:lpwstr/>
  </property>
  <property fmtid="{D5CDD505-2E9C-101B-9397-08002B2CF9AE}" pid="73" name="FSC#COOELAK@1.1001:ProcessResponsible">
    <vt:lpwstr/>
  </property>
  <property fmtid="{D5CDD505-2E9C-101B-9397-08002B2CF9AE}" pid="74" name="FSC#COOELAK@1.1001:ProcessResponsiblePhone">
    <vt:lpwstr/>
  </property>
  <property fmtid="{D5CDD505-2E9C-101B-9397-08002B2CF9AE}" pid="75" name="FSC#COOELAK@1.1001:ProcessResponsibleMail">
    <vt:lpwstr/>
  </property>
  <property fmtid="{D5CDD505-2E9C-101B-9397-08002B2CF9AE}" pid="76" name="FSC#COOELAK@1.1001:ProcessResponsibleFax">
    <vt:lpwstr/>
  </property>
  <property fmtid="{D5CDD505-2E9C-101B-9397-08002B2CF9AE}" pid="77" name="FSC#COOELAK@1.1001:ApproverFirstName">
    <vt:lpwstr/>
  </property>
  <property fmtid="{D5CDD505-2E9C-101B-9397-08002B2CF9AE}" pid="78" name="FSC#COOELAK@1.1001:ApproverSurName">
    <vt:lpwstr/>
  </property>
  <property fmtid="{D5CDD505-2E9C-101B-9397-08002B2CF9AE}" pid="79" name="FSC#COOELAK@1.1001:ApproverTitle">
    <vt:lpwstr/>
  </property>
  <property fmtid="{D5CDD505-2E9C-101B-9397-08002B2CF9AE}" pid="80" name="FSC#COOELAK@1.1001:ExternalDate">
    <vt:lpwstr/>
  </property>
  <property fmtid="{D5CDD505-2E9C-101B-9397-08002B2CF9AE}" pid="81" name="FSC#COOELAK@1.1001:SettlementApprovedAt">
    <vt:lpwstr/>
  </property>
  <property fmtid="{D5CDD505-2E9C-101B-9397-08002B2CF9AE}" pid="82" name="FSC#COOELAK@1.1001:BaseNumber">
    <vt:lpwstr>063</vt:lpwstr>
  </property>
  <property fmtid="{D5CDD505-2E9C-101B-9397-08002B2CF9AE}" pid="83" name="FSC#COOELAK@1.1001:CurrentUserRolePos">
    <vt:lpwstr>Sachbearbeiter/-in</vt:lpwstr>
  </property>
  <property fmtid="{D5CDD505-2E9C-101B-9397-08002B2CF9AE}" pid="84" name="FSC#COOELAK@1.1001:CurrentUserEmail">
    <vt:lpwstr>Marcel.Wuethrich@oak-bv.admin.ch</vt:lpwstr>
  </property>
  <property fmtid="{D5CDD505-2E9C-101B-9397-08002B2CF9AE}" pid="85" name="FSC#ELAKGOV@1.1001:PersonalSubjGender">
    <vt:lpwstr/>
  </property>
  <property fmtid="{D5CDD505-2E9C-101B-9397-08002B2CF9AE}" pid="86" name="FSC#ELAKGOV@1.1001:PersonalSubjFirstName">
    <vt:lpwstr/>
  </property>
  <property fmtid="{D5CDD505-2E9C-101B-9397-08002B2CF9AE}" pid="87" name="FSC#ELAKGOV@1.1001:PersonalSubjSurName">
    <vt:lpwstr/>
  </property>
  <property fmtid="{D5CDD505-2E9C-101B-9397-08002B2CF9AE}" pid="88" name="FSC#ELAKGOV@1.1001:PersonalSubjSalutation">
    <vt:lpwstr/>
  </property>
  <property fmtid="{D5CDD505-2E9C-101B-9397-08002B2CF9AE}" pid="89" name="FSC#ELAKGOV@1.1001:PersonalSubjAddress">
    <vt:lpwstr/>
  </property>
  <property fmtid="{D5CDD505-2E9C-101B-9397-08002B2CF9AE}" pid="90" name="FSC#EDICFG@15.1700:SignerLeft">
    <vt:lpwstr/>
  </property>
  <property fmtid="{D5CDD505-2E9C-101B-9397-08002B2CF9AE}" pid="91" name="FSC#EDICFG@15.1700:SignerLeftFunction">
    <vt:lpwstr/>
  </property>
  <property fmtid="{D5CDD505-2E9C-101B-9397-08002B2CF9AE}" pid="92" name="FSC#EDICFG@15.1700:SignerRight">
    <vt:lpwstr/>
  </property>
  <property fmtid="{D5CDD505-2E9C-101B-9397-08002B2CF9AE}" pid="93" name="FSC#EDICFG@15.1700:SignerRightFunction">
    <vt:lpwstr/>
  </property>
  <property fmtid="{D5CDD505-2E9C-101B-9397-08002B2CF9AE}" pid="94" name="FSC#ATSTATECFG@1.1001:Office">
    <vt:lpwstr/>
  </property>
  <property fmtid="{D5CDD505-2E9C-101B-9397-08002B2CF9AE}" pid="95" name="FSC#ATSTATECFG@1.1001:Agent">
    <vt:lpwstr>André Tapernoux</vt:lpwstr>
  </property>
  <property fmtid="{D5CDD505-2E9C-101B-9397-08002B2CF9AE}" pid="96" name="FSC#ATSTATECFG@1.1001:AgentPhone">
    <vt:lpwstr>+41 58 462 92 09</vt:lpwstr>
  </property>
  <property fmtid="{D5CDD505-2E9C-101B-9397-08002B2CF9AE}" pid="97" name="FSC#ATSTATECFG@1.1001:DepartmentFax">
    <vt:lpwstr>+41 31 32 22696</vt:lpwstr>
  </property>
  <property fmtid="{D5CDD505-2E9C-101B-9397-08002B2CF9AE}" pid="98" name="FSC#ATSTATECFG@1.1001:DepartmentEmail">
    <vt:lpwstr>info@oak-bv.admin.ch</vt:lpwstr>
  </property>
  <property fmtid="{D5CDD505-2E9C-101B-9397-08002B2CF9AE}" pid="99" name="FSC#ATSTATECFG@1.1001:SubfileDate">
    <vt:lpwstr>16.04.2014</vt:lpwstr>
  </property>
  <property fmtid="{D5CDD505-2E9C-101B-9397-08002B2CF9AE}" pid="100" name="FSC#ATSTATECFG@1.1001:SubfileSubject">
    <vt:lpwstr>Means_Anlage_2014-04-10_Korr_x000d_
Means_Anlage_2014-04-10_Korr_x000d_
Means_all_2014-04-10_Korr_x000d_
Sanierungsmassnahmen_2014-04-10_Korr_x000d_
Means_Loehne_2014-04-10_Korr_x000d_
Means_Quantile_2014-04-10_Korr_x000d_
Means_Bilanzsumme_2014-04-10_Korr_x000d_
Means_all_2014-04-10_Korr_x000d_
Tabell</vt:lpwstr>
  </property>
  <property fmtid="{D5CDD505-2E9C-101B-9397-08002B2CF9AE}" pid="101" name="FSC#ATSTATECFG@1.1001:DepartmentZipCode">
    <vt:lpwstr>3003</vt:lpwstr>
  </property>
  <property fmtid="{D5CDD505-2E9C-101B-9397-08002B2CF9AE}" pid="102" name="FSC#ATSTATECFG@1.1001:DepartmentCountry">
    <vt:lpwstr/>
  </property>
  <property fmtid="{D5CDD505-2E9C-101B-9397-08002B2CF9AE}" pid="103" name="FSC#ATSTATECFG@1.1001:DepartmentCity">
    <vt:lpwstr>Bern</vt:lpwstr>
  </property>
  <property fmtid="{D5CDD505-2E9C-101B-9397-08002B2CF9AE}" pid="104" name="FSC#ATSTATECFG@1.1001:DepartmentStreet">
    <vt:lpwstr>Seilerstrasse 8</vt:lpwstr>
  </property>
  <property fmtid="{D5CDD505-2E9C-101B-9397-08002B2CF9AE}" pid="105" name="FSC#ATSTATECFG@1.1001:DepartmentDVR">
    <vt:lpwstr/>
  </property>
  <property fmtid="{D5CDD505-2E9C-101B-9397-08002B2CF9AE}" pid="106" name="FSC#ATSTATECFG@1.1001:DepartmentUID">
    <vt:lpwstr/>
  </property>
  <property fmtid="{D5CDD505-2E9C-101B-9397-08002B2CF9AE}" pid="107" name="FSC#ATSTATECFG@1.1001:SubfileReference">
    <vt:lpwstr>063-R13/Adressdaten</vt:lpwstr>
  </property>
  <property fmtid="{D5CDD505-2E9C-101B-9397-08002B2CF9AE}" pid="108" name="FSC#ATSTATECFG@1.1001:Clause">
    <vt:lpwstr/>
  </property>
  <property fmtid="{D5CDD505-2E9C-101B-9397-08002B2CF9AE}" pid="109" name="FSC#ATSTATECFG@1.1001:ApprovedSignature">
    <vt:lpwstr/>
  </property>
  <property fmtid="{D5CDD505-2E9C-101B-9397-08002B2CF9AE}" pid="110" name="FSC#ATSTATECFG@1.1001:BankAccount">
    <vt:lpwstr/>
  </property>
  <property fmtid="{D5CDD505-2E9C-101B-9397-08002B2CF9AE}" pid="111" name="FSC#ATSTATECFG@1.1001:BankAccountOwner">
    <vt:lpwstr/>
  </property>
  <property fmtid="{D5CDD505-2E9C-101B-9397-08002B2CF9AE}" pid="112" name="FSC#ATSTATECFG@1.1001:BankInstitute">
    <vt:lpwstr/>
  </property>
  <property fmtid="{D5CDD505-2E9C-101B-9397-08002B2CF9AE}" pid="113" name="FSC#ATSTATECFG@1.1001:BankAccountID">
    <vt:lpwstr/>
  </property>
  <property fmtid="{D5CDD505-2E9C-101B-9397-08002B2CF9AE}" pid="114" name="FSC#ATSTATECFG@1.1001:BankAccountIBAN">
    <vt:lpwstr/>
  </property>
  <property fmtid="{D5CDD505-2E9C-101B-9397-08002B2CF9AE}" pid="115" name="FSC#ATSTATECFG@1.1001:BankAccountBIC">
    <vt:lpwstr/>
  </property>
  <property fmtid="{D5CDD505-2E9C-101B-9397-08002B2CF9AE}" pid="116" name="FSC#ATSTATECFG@1.1001:BankName">
    <vt:lpwstr/>
  </property>
  <property fmtid="{D5CDD505-2E9C-101B-9397-08002B2CF9AE}" pid="117" name="FSC#CCAPRECONFIG@15.1001:AddrAnrede">
    <vt:lpwstr/>
  </property>
  <property fmtid="{D5CDD505-2E9C-101B-9397-08002B2CF9AE}" pid="118" name="FSC#CCAPRECONFIG@15.1001:AddrTitel">
    <vt:lpwstr/>
  </property>
  <property fmtid="{D5CDD505-2E9C-101B-9397-08002B2CF9AE}" pid="119" name="FSC#CCAPRECONFIG@15.1001:AddrNachgestellter_Titel">
    <vt:lpwstr/>
  </property>
  <property fmtid="{D5CDD505-2E9C-101B-9397-08002B2CF9AE}" pid="120" name="FSC#CCAPRECONFIG@15.1001:AddrVorname">
    <vt:lpwstr/>
  </property>
  <property fmtid="{D5CDD505-2E9C-101B-9397-08002B2CF9AE}" pid="121" name="FSC#CCAPRECONFIG@15.1001:AddrNachname">
    <vt:lpwstr/>
  </property>
  <property fmtid="{D5CDD505-2E9C-101B-9397-08002B2CF9AE}" pid="122" name="FSC#CCAPRECONFIG@15.1001:AddrzH">
    <vt:lpwstr/>
  </property>
  <property fmtid="{D5CDD505-2E9C-101B-9397-08002B2CF9AE}" pid="123" name="FSC#CCAPRECONFIG@15.1001:AddrGeschlecht">
    <vt:lpwstr/>
  </property>
  <property fmtid="{D5CDD505-2E9C-101B-9397-08002B2CF9AE}" pid="124" name="FSC#CCAPRECONFIG@15.1001:AddrStrasse">
    <vt:lpwstr/>
  </property>
  <property fmtid="{D5CDD505-2E9C-101B-9397-08002B2CF9AE}" pid="125" name="FSC#CCAPRECONFIG@15.1001:AddrHausnummer">
    <vt:lpwstr/>
  </property>
  <property fmtid="{D5CDD505-2E9C-101B-9397-08002B2CF9AE}" pid="126" name="FSC#CCAPRECONFIG@15.1001:AddrStiege">
    <vt:lpwstr/>
  </property>
  <property fmtid="{D5CDD505-2E9C-101B-9397-08002B2CF9AE}" pid="127" name="FSC#CCAPRECONFIG@15.1001:AddrTuer">
    <vt:lpwstr/>
  </property>
  <property fmtid="{D5CDD505-2E9C-101B-9397-08002B2CF9AE}" pid="128" name="FSC#CCAPRECONFIG@15.1001:AddrPostfach">
    <vt:lpwstr/>
  </property>
  <property fmtid="{D5CDD505-2E9C-101B-9397-08002B2CF9AE}" pid="129" name="FSC#CCAPRECONFIG@15.1001:AddrPostleitzahl">
    <vt:lpwstr/>
  </property>
  <property fmtid="{D5CDD505-2E9C-101B-9397-08002B2CF9AE}" pid="130" name="FSC#CCAPRECONFIG@15.1001:AddrOrt">
    <vt:lpwstr/>
  </property>
  <property fmtid="{D5CDD505-2E9C-101B-9397-08002B2CF9AE}" pid="131" name="FSC#CCAPRECONFIG@15.1001:AddrLand">
    <vt:lpwstr/>
  </property>
  <property fmtid="{D5CDD505-2E9C-101B-9397-08002B2CF9AE}" pid="132" name="FSC#CCAPRECONFIG@15.1001:AddrEmail">
    <vt:lpwstr/>
  </property>
  <property fmtid="{D5CDD505-2E9C-101B-9397-08002B2CF9AE}" pid="133" name="FSC#CCAPRECONFIG@15.1001:AddrAdresse">
    <vt:lpwstr/>
  </property>
  <property fmtid="{D5CDD505-2E9C-101B-9397-08002B2CF9AE}" pid="134" name="FSC#CCAPRECONFIG@15.1001:AddrFax">
    <vt:lpwstr/>
  </property>
  <property fmtid="{D5CDD505-2E9C-101B-9397-08002B2CF9AE}" pid="135" name="FSC#CCAPRECONFIG@15.1001:AddrOrganisationsname">
    <vt:lpwstr/>
  </property>
  <property fmtid="{D5CDD505-2E9C-101B-9397-08002B2CF9AE}" pid="136" name="FSC#CCAPRECONFIG@15.1001:AddrOrganisationskurzname">
    <vt:lpwstr/>
  </property>
  <property fmtid="{D5CDD505-2E9C-101B-9397-08002B2CF9AE}" pid="137" name="FSC#CCAPRECONFIG@15.1001:AddrAbschriftsbemerkung">
    <vt:lpwstr/>
  </property>
  <property fmtid="{D5CDD505-2E9C-101B-9397-08002B2CF9AE}" pid="138" name="FSC#CCAPRECONFIG@15.1001:AddrName_Zeile_2">
    <vt:lpwstr/>
  </property>
  <property fmtid="{D5CDD505-2E9C-101B-9397-08002B2CF9AE}" pid="139" name="FSC#CCAPRECONFIG@15.1001:AddrName_Zeile_3">
    <vt:lpwstr/>
  </property>
  <property fmtid="{D5CDD505-2E9C-101B-9397-08002B2CF9AE}" pid="140" name="FSC#CCAPRECONFIG@15.1001:AddrPostalischeAdresse">
    <vt:lpwstr/>
  </property>
  <property fmtid="{D5CDD505-2E9C-101B-9397-08002B2CF9AE}" pid="141" name="FSC#FSCFOLIO@1.1001:docpropproject">
    <vt:lpwstr/>
  </property>
</Properties>
</file>